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S Rybi\Rozpočet 2020\"/>
    </mc:Choice>
  </mc:AlternateContent>
  <bookViews>
    <workbookView xWindow="0" yWindow="0" windowWidth="20736" windowHeight="8748" tabRatio="780"/>
  </bookViews>
  <sheets>
    <sheet name="návrh rozpočtu2020" sheetId="6" r:id="rId1"/>
    <sheet name="podrobně2020" sheetId="27" r:id="rId2"/>
    <sheet name="přímé náklady" sheetId="7" r:id="rId3"/>
    <sheet name="střednědobý výhled 2020-2021" sheetId="8" r:id="rId4"/>
  </sheets>
  <definedNames>
    <definedName name="_xlnm.Print_Titles" localSheetId="1">podrobně2020!$1:$1</definedName>
    <definedName name="_xlnm.Print_Area" localSheetId="1">podrobně2020!$A$1:$F$63</definedName>
  </definedNames>
  <calcPr calcId="152511"/>
  <fileRecoveryPr autoRecover="0"/>
</workbook>
</file>

<file path=xl/calcChain.xml><?xml version="1.0" encoding="utf-8"?>
<calcChain xmlns="http://schemas.openxmlformats.org/spreadsheetml/2006/main">
  <c r="C8" i="6" l="1"/>
  <c r="D18" i="27"/>
  <c r="M45" i="27"/>
  <c r="F37" i="27"/>
  <c r="D12" i="7" l="1"/>
  <c r="C12" i="7"/>
  <c r="B8" i="6" l="1"/>
  <c r="C14" i="7"/>
  <c r="D14" i="7" s="1"/>
  <c r="C11" i="7"/>
  <c r="C10" i="7"/>
  <c r="F54" i="27" l="1"/>
  <c r="E54" i="27"/>
  <c r="D54" i="27"/>
  <c r="F18" i="27" l="1"/>
  <c r="E58" i="27"/>
  <c r="E50" i="27"/>
  <c r="F19" i="27"/>
  <c r="J19" i="27" s="1"/>
  <c r="K19" i="27" l="1"/>
  <c r="E43" i="27"/>
  <c r="E51" i="27" s="1"/>
  <c r="F56" i="27"/>
  <c r="F57" i="27"/>
  <c r="F17" i="6" s="1"/>
  <c r="F9" i="6"/>
  <c r="E17" i="6"/>
  <c r="E18" i="6"/>
  <c r="F14" i="6" l="1"/>
  <c r="F8" i="8" s="1"/>
  <c r="F9" i="8" s="1"/>
  <c r="F46" i="27" l="1"/>
  <c r="F47" i="27"/>
  <c r="F48" i="27"/>
  <c r="F49" i="27"/>
  <c r="D16" i="6"/>
  <c r="F5" i="27"/>
  <c r="F6" i="27"/>
  <c r="F7" i="27"/>
  <c r="F8" i="27"/>
  <c r="F9" i="27"/>
  <c r="F10" i="27"/>
  <c r="F11" i="27"/>
  <c r="F12" i="27"/>
  <c r="F14" i="27"/>
  <c r="F15" i="27"/>
  <c r="F16" i="27"/>
  <c r="F17" i="27"/>
  <c r="F22" i="27"/>
  <c r="F23" i="27"/>
  <c r="F24" i="27"/>
  <c r="F26" i="27"/>
  <c r="F28" i="27"/>
  <c r="F29" i="27"/>
  <c r="F30" i="27"/>
  <c r="F31" i="27"/>
  <c r="F32" i="27"/>
  <c r="F33" i="27"/>
  <c r="F34" i="27"/>
  <c r="F35" i="27"/>
  <c r="F38" i="27"/>
  <c r="C12" i="6"/>
  <c r="E12" i="6" s="1"/>
  <c r="G12" i="6" s="1"/>
  <c r="C10" i="6" l="1"/>
  <c r="E10" i="6" s="1"/>
  <c r="G10" i="6" s="1"/>
  <c r="B15" i="7"/>
  <c r="D10" i="7"/>
  <c r="C9" i="6"/>
  <c r="E9" i="6" s="1"/>
  <c r="G9" i="6" s="1"/>
  <c r="C13" i="6"/>
  <c r="E13" i="6" s="1"/>
  <c r="G13" i="6" s="1"/>
  <c r="D13" i="7" l="1"/>
  <c r="C13" i="7"/>
  <c r="E8" i="6"/>
  <c r="G8" i="6" s="1"/>
  <c r="C14" i="6"/>
  <c r="C15" i="7" l="1"/>
  <c r="B11" i="6" s="1"/>
  <c r="G58" i="27"/>
  <c r="F58" i="27"/>
  <c r="D58" i="27"/>
  <c r="K55" i="27"/>
  <c r="G50" i="27"/>
  <c r="F50" i="27"/>
  <c r="K49" i="27"/>
  <c r="J49" i="27"/>
  <c r="K48" i="27"/>
  <c r="D50" i="27"/>
  <c r="K46" i="27"/>
  <c r="J46" i="27"/>
  <c r="K45" i="27"/>
  <c r="K50" i="27" s="1"/>
  <c r="J45" i="27"/>
  <c r="I43" i="27"/>
  <c r="H43" i="27"/>
  <c r="G43" i="27"/>
  <c r="F43" i="27"/>
  <c r="D43" i="27"/>
  <c r="K39" i="27"/>
  <c r="J39" i="27"/>
  <c r="K38" i="27"/>
  <c r="K34" i="27"/>
  <c r="J34" i="27"/>
  <c r="K33" i="27"/>
  <c r="J33" i="27"/>
  <c r="K32" i="27"/>
  <c r="J32" i="27"/>
  <c r="K31" i="27"/>
  <c r="J31" i="27"/>
  <c r="K30" i="27"/>
  <c r="J30" i="27"/>
  <c r="K29" i="27"/>
  <c r="J29" i="27"/>
  <c r="K28" i="27"/>
  <c r="J28" i="27"/>
  <c r="K27" i="27"/>
  <c r="J27" i="27"/>
  <c r="K26" i="27"/>
  <c r="J26" i="27"/>
  <c r="K25" i="27"/>
  <c r="J25" i="27"/>
  <c r="K24" i="27"/>
  <c r="J24" i="27"/>
  <c r="K23" i="27"/>
  <c r="J23" i="27"/>
  <c r="K22" i="27"/>
  <c r="J22" i="27"/>
  <c r="K21" i="27"/>
  <c r="J21" i="27"/>
  <c r="K20" i="27"/>
  <c r="J20" i="27"/>
  <c r="K18" i="27"/>
  <c r="J18" i="27"/>
  <c r="K17" i="27"/>
  <c r="J17" i="27"/>
  <c r="K16" i="27"/>
  <c r="J16" i="27"/>
  <c r="K15" i="27"/>
  <c r="J15" i="27"/>
  <c r="K14" i="27"/>
  <c r="J14" i="27"/>
  <c r="K13" i="27"/>
  <c r="J13" i="27"/>
  <c r="K12" i="27"/>
  <c r="J12" i="27"/>
  <c r="K11" i="27"/>
  <c r="J11" i="27"/>
  <c r="K10" i="27"/>
  <c r="J10" i="27"/>
  <c r="K9" i="27"/>
  <c r="J9" i="27"/>
  <c r="K8" i="27"/>
  <c r="J8" i="27"/>
  <c r="K7" i="27"/>
  <c r="J7" i="27"/>
  <c r="K6" i="27"/>
  <c r="J6" i="27"/>
  <c r="K5" i="27"/>
  <c r="J5" i="27"/>
  <c r="K4" i="27"/>
  <c r="J4" i="27"/>
  <c r="G3" i="27"/>
  <c r="G54" i="27" s="1"/>
  <c r="F51" i="27" l="1"/>
  <c r="B14" i="6"/>
  <c r="E11" i="6"/>
  <c r="G11" i="6" s="1"/>
  <c r="G14" i="6" s="1"/>
  <c r="K43" i="27"/>
  <c r="J43" i="27" s="1"/>
  <c r="G51" i="27"/>
  <c r="D51" i="27"/>
  <c r="J50" i="27"/>
  <c r="G17" i="6" l="1"/>
  <c r="G18" i="6"/>
  <c r="E16" i="6"/>
  <c r="G16" i="6" s="1"/>
  <c r="C20" i="6"/>
  <c r="D20" i="6"/>
  <c r="F20" i="6"/>
  <c r="D14" i="6"/>
  <c r="B19" i="6"/>
  <c r="E19" i="6" s="1"/>
  <c r="B8" i="7"/>
  <c r="E8" i="8" l="1"/>
  <c r="F21" i="6"/>
  <c r="D11" i="7"/>
  <c r="C8" i="7"/>
  <c r="G19" i="6"/>
  <c r="B20" i="6"/>
  <c r="E20" i="6"/>
  <c r="B8" i="8" s="1"/>
  <c r="E14" i="6"/>
  <c r="C8" i="8" s="1"/>
  <c r="B9" i="8" l="1"/>
  <c r="H8" i="8"/>
  <c r="H9" i="8" s="1"/>
  <c r="D8" i="7"/>
  <c r="D15" i="7"/>
  <c r="E9" i="8"/>
  <c r="G8" i="8"/>
  <c r="G9" i="8" s="1"/>
  <c r="C9" i="8"/>
  <c r="D8" i="8"/>
  <c r="D9" i="8" s="1"/>
  <c r="I8" i="8"/>
  <c r="E21" i="6"/>
  <c r="G21" i="6" s="1"/>
  <c r="G20" i="6"/>
  <c r="J8" i="8" l="1"/>
  <c r="J9" i="8" s="1"/>
  <c r="I9" i="8"/>
</calcChain>
</file>

<file path=xl/sharedStrings.xml><?xml version="1.0" encoding="utf-8"?>
<sst xmlns="http://schemas.openxmlformats.org/spreadsheetml/2006/main" count="241" uniqueCount="165">
  <si>
    <t>Hlavní činnost</t>
  </si>
  <si>
    <t xml:space="preserve">Hlavní činnost celkem </t>
  </si>
  <si>
    <t xml:space="preserve">Doplňková činnost </t>
  </si>
  <si>
    <t xml:space="preserve">Celkem </t>
  </si>
  <si>
    <t xml:space="preserve">Z toho </t>
  </si>
  <si>
    <t>Ukazatele</t>
  </si>
  <si>
    <t xml:space="preserve">na platy </t>
  </si>
  <si>
    <t>Komentář:</t>
  </si>
  <si>
    <t>Ostatní zdroje (vlastní, cizí)</t>
  </si>
  <si>
    <t xml:space="preserve">Hlavní činnost </t>
  </si>
  <si>
    <t>Doplňková činnost</t>
  </si>
  <si>
    <t>Výnosy</t>
  </si>
  <si>
    <t>Náklady</t>
  </si>
  <si>
    <t>Výsledek hospodaření</t>
  </si>
  <si>
    <t>Výnosy celkem</t>
  </si>
  <si>
    <t>Náklady celkem</t>
  </si>
  <si>
    <t>v tis. Kč</t>
  </si>
  <si>
    <t>Přímé náklady</t>
  </si>
  <si>
    <t>příspěvek na provoz zřizovatel</t>
  </si>
  <si>
    <t>Základní škola Adolfa Zábranského Rybí okres Nový Jičín</t>
  </si>
  <si>
    <t>IČ: 75027194</t>
  </si>
  <si>
    <t>Mgr. Hana Frydrychová, ředitelka školy</t>
  </si>
  <si>
    <t>52 - Osobní náklady</t>
  </si>
  <si>
    <t>54 - Ostatní provozní náklady</t>
  </si>
  <si>
    <t>51 - Služby</t>
  </si>
  <si>
    <t>Základní škola Adolfa Zábranského Rybí</t>
  </si>
  <si>
    <t>leden - prosinec 2015</t>
  </si>
  <si>
    <t xml:space="preserve">Su  </t>
  </si>
  <si>
    <t xml:space="preserve">Au </t>
  </si>
  <si>
    <t xml:space="preserve">Text                          </t>
  </si>
  <si>
    <t>Rozpočet</t>
  </si>
  <si>
    <t>čerpání</t>
  </si>
  <si>
    <t>plán</t>
  </si>
  <si>
    <t xml:space="preserve">  PLNĚNÍ</t>
  </si>
  <si>
    <t>zůstatek</t>
  </si>
  <si>
    <t>Náklady NA PROVOZ</t>
  </si>
  <si>
    <t>nezaúčt.</t>
  </si>
  <si>
    <t xml:space="preserve">    V %</t>
  </si>
  <si>
    <t>v Kč</t>
  </si>
  <si>
    <t xml:space="preserve">501 </t>
  </si>
  <si>
    <t xml:space="preserve">11 </t>
  </si>
  <si>
    <t xml:space="preserve"> kancelářský materiál (vč.tonerů)</t>
  </si>
  <si>
    <t xml:space="preserve">12 </t>
  </si>
  <si>
    <t xml:space="preserve"> čistící prostředky</t>
  </si>
  <si>
    <t xml:space="preserve">14 </t>
  </si>
  <si>
    <t xml:space="preserve"> ostatní materiál do spotřeby</t>
  </si>
  <si>
    <t>501</t>
  </si>
  <si>
    <t>15</t>
  </si>
  <si>
    <t xml:space="preserve"> výtvarný materiál </t>
  </si>
  <si>
    <t>16</t>
  </si>
  <si>
    <t xml:space="preserve"> materiál pro ŠD</t>
  </si>
  <si>
    <t>17</t>
  </si>
  <si>
    <t xml:space="preserve"> učební pomůcky do spotřeby</t>
  </si>
  <si>
    <t>18</t>
  </si>
  <si>
    <t xml:space="preserve"> materiál pro opravy</t>
  </si>
  <si>
    <t>20</t>
  </si>
  <si>
    <t xml:space="preserve"> předplatné, publikace</t>
  </si>
  <si>
    <t>21</t>
  </si>
  <si>
    <t xml:space="preserve"> knihy</t>
  </si>
  <si>
    <t>22</t>
  </si>
  <si>
    <t>23</t>
  </si>
  <si>
    <t>558</t>
  </si>
  <si>
    <t>10</t>
  </si>
  <si>
    <t xml:space="preserve"> DDHM provozní</t>
  </si>
  <si>
    <t>11</t>
  </si>
  <si>
    <t xml:space="preserve"> DDHM pro výuku</t>
  </si>
  <si>
    <t>502</t>
  </si>
  <si>
    <t>13</t>
  </si>
  <si>
    <t xml:space="preserve"> elektrická energie</t>
  </si>
  <si>
    <t xml:space="preserve"> vodné, stočné</t>
  </si>
  <si>
    <t xml:space="preserve"> plyn</t>
  </si>
  <si>
    <t xml:space="preserve">511 </t>
  </si>
  <si>
    <t xml:space="preserve">10 </t>
  </si>
  <si>
    <t xml:space="preserve"> opravy a udrž. majetku</t>
  </si>
  <si>
    <t>511</t>
  </si>
  <si>
    <t xml:space="preserve"> opravy a udržování budovy</t>
  </si>
  <si>
    <t xml:space="preserve">518 </t>
  </si>
  <si>
    <t xml:space="preserve"> ostatní služby</t>
  </si>
  <si>
    <t xml:space="preserve"> telefony</t>
  </si>
  <si>
    <t xml:space="preserve"> poštovné</t>
  </si>
  <si>
    <t>518</t>
  </si>
  <si>
    <t xml:space="preserve"> poplatky bance</t>
  </si>
  <si>
    <t>14</t>
  </si>
  <si>
    <t xml:space="preserve"> stravování zaměstnanců</t>
  </si>
  <si>
    <t xml:space="preserve"> software aktualizace</t>
  </si>
  <si>
    <t xml:space="preserve"> závodní lékařská péče</t>
  </si>
  <si>
    <t xml:space="preserve"> prezentace školy</t>
  </si>
  <si>
    <t xml:space="preserve"> revize</t>
  </si>
  <si>
    <t>19</t>
  </si>
  <si>
    <t xml:space="preserve"> školení provoz</t>
  </si>
  <si>
    <t xml:space="preserve">20 </t>
  </si>
  <si>
    <t xml:space="preserve"> odvoz odpadu</t>
  </si>
  <si>
    <t xml:space="preserve"> zpracování účetnictví</t>
  </si>
  <si>
    <t xml:space="preserve"> spisová služba</t>
  </si>
  <si>
    <t xml:space="preserve"> webhosting</t>
  </si>
  <si>
    <t>24</t>
  </si>
  <si>
    <t xml:space="preserve"> služby BOZP a PO</t>
  </si>
  <si>
    <t>28</t>
  </si>
  <si>
    <t xml:space="preserve"> plavání - provozní náklady</t>
  </si>
  <si>
    <t>549</t>
  </si>
  <si>
    <t xml:space="preserve"> pojištění</t>
  </si>
  <si>
    <t>551</t>
  </si>
  <si>
    <t>01</t>
  </si>
  <si>
    <t xml:space="preserve"> odpisy</t>
  </si>
  <si>
    <t xml:space="preserve">Celkem                                         </t>
  </si>
  <si>
    <t xml:space="preserve">602 </t>
  </si>
  <si>
    <t xml:space="preserve"> úplata ŠD</t>
  </si>
  <si>
    <t>644</t>
  </si>
  <si>
    <t xml:space="preserve"> úroky</t>
  </si>
  <si>
    <t>648</t>
  </si>
  <si>
    <t xml:space="preserve"> čerpání rezervního fondu</t>
  </si>
  <si>
    <t>649</t>
  </si>
  <si>
    <t xml:space="preserve"> ostatní provozní výnosy </t>
  </si>
  <si>
    <t>672</t>
  </si>
  <si>
    <t xml:space="preserve"> příspěvek na provoz od zřiz</t>
  </si>
  <si>
    <t>DOPLŇKOVÁ ČINNOST</t>
  </si>
  <si>
    <t>Spotřeba el.energie</t>
  </si>
  <si>
    <t>521</t>
  </si>
  <si>
    <t>Mzdové náklady</t>
  </si>
  <si>
    <t>Výnosy z DČ</t>
  </si>
  <si>
    <t>25</t>
  </si>
  <si>
    <t xml:space="preserve"> servis kanalizačních systémů</t>
  </si>
  <si>
    <t>Hospodářský výsledek HČ</t>
  </si>
  <si>
    <t>Hospodářský výsledek DČ</t>
  </si>
  <si>
    <t>Vlastní</t>
  </si>
  <si>
    <t>zdroje</t>
  </si>
  <si>
    <t>na ostatní osobní náklady</t>
  </si>
  <si>
    <t>55 - Náklady z dlouhod.majetku</t>
  </si>
  <si>
    <t>Rok</t>
  </si>
  <si>
    <t xml:space="preserve">Náklady </t>
  </si>
  <si>
    <t>50 - Spotřeba materiálu</t>
  </si>
  <si>
    <t>50 - Spotřeba energie</t>
  </si>
  <si>
    <t>Náklady /výnosy                                 (v členění dle skupin synt.účtů)</t>
  </si>
  <si>
    <t>60 - úplata za vzdělávání</t>
  </si>
  <si>
    <t>60 - výnosy z doplňkové činnosti</t>
  </si>
  <si>
    <t>67 - příspěvek zřizovatele</t>
  </si>
  <si>
    <t>67 - příspěvek ze státního rozpočtu</t>
  </si>
  <si>
    <t xml:space="preserve">Čerpání </t>
  </si>
  <si>
    <t>512</t>
  </si>
  <si>
    <t>12</t>
  </si>
  <si>
    <t xml:space="preserve"> cestovné</t>
  </si>
  <si>
    <t>rok 2019</t>
  </si>
  <si>
    <t xml:space="preserve">Náklady na platy zaměstnanců a OON celkem </t>
  </si>
  <si>
    <t>Pojistné na zdravotní a sociální pojištění</t>
  </si>
  <si>
    <t>Náklady na přímé náklady na vzdělávání</t>
  </si>
  <si>
    <t>Tvorba FKSP</t>
  </si>
  <si>
    <t>ONIV</t>
  </si>
  <si>
    <t>Přímé náklady na vzdělávání celkem</t>
  </si>
  <si>
    <t>rok 2019 v tis.Kč</t>
  </si>
  <si>
    <t>26</t>
  </si>
  <si>
    <t xml:space="preserve"> pověřenec GDPR</t>
  </si>
  <si>
    <t xml:space="preserve"> drobný majetek </t>
  </si>
  <si>
    <t>rok 2020</t>
  </si>
  <si>
    <t>Předpoklad v tis.Kč</t>
  </si>
  <si>
    <t>Střednědobý výhled rozpočtu (plán výnosů a nákladů v tis.Kč) na období let 2021 až 2022</t>
  </si>
  <si>
    <t>V Rybí  dne 29.11.2019</t>
  </si>
  <si>
    <t>Návrh rozpočtu roku  2020</t>
  </si>
  <si>
    <t>rok 2021</t>
  </si>
  <si>
    <t>Předpoklad roku 2019 odpovídá aktuálně platnému limitu KU.</t>
  </si>
  <si>
    <t>Předpoklad roku 2020-2021 je navýšen o 10 % prostředků na platy dle předpokladu navýšení platů od 1.1.2020.</t>
  </si>
  <si>
    <t>1-9/2019 v Kč</t>
  </si>
  <si>
    <t>rok 2020 v tis.Kč</t>
  </si>
  <si>
    <t>27</t>
  </si>
  <si>
    <t xml:space="preserve"> správa sítě</t>
  </si>
  <si>
    <t>Stav rezervního fondu k 30.9.2019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</si>
</sst>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0" fillId="0" borderId="0"/>
  </cellStyleXfs>
  <cellXfs count="12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5" xfId="0" applyFont="1" applyBorder="1"/>
    <xf numFmtId="0" fontId="3" fillId="0" borderId="5" xfId="0" applyFont="1" applyBorder="1"/>
    <xf numFmtId="0" fontId="3" fillId="0" borderId="10" xfId="0" applyFont="1" applyBorder="1"/>
    <xf numFmtId="0" fontId="4" fillId="0" borderId="5" xfId="0" applyFont="1" applyBorder="1" applyAlignment="1">
      <alignment horizontal="center" vertical="center" wrapText="1"/>
    </xf>
    <xf numFmtId="0" fontId="3" fillId="0" borderId="5" xfId="0" applyNumberFormat="1" applyFont="1" applyBorder="1"/>
    <xf numFmtId="0" fontId="4" fillId="0" borderId="5" xfId="0" applyFont="1" applyBorder="1" applyAlignment="1">
      <alignment horizontal="center" vertical="center"/>
    </xf>
    <xf numFmtId="0" fontId="3" fillId="0" borderId="0" xfId="0" applyFont="1" applyFill="1" applyBorder="1"/>
    <xf numFmtId="0" fontId="7" fillId="0" borderId="0" xfId="0" applyFont="1" applyFill="1"/>
    <xf numFmtId="0" fontId="8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0" fillId="0" borderId="0" xfId="0" applyNumberFormat="1"/>
    <xf numFmtId="3" fontId="0" fillId="0" borderId="5" xfId="0" applyNumberFormat="1" applyBorder="1"/>
    <xf numFmtId="3" fontId="4" fillId="0" borderId="5" xfId="0" applyNumberFormat="1" applyFont="1" applyBorder="1"/>
    <xf numFmtId="3" fontId="3" fillId="0" borderId="5" xfId="0" applyNumberFormat="1" applyFont="1" applyBorder="1"/>
    <xf numFmtId="0" fontId="6" fillId="0" borderId="5" xfId="0" applyFont="1" applyBorder="1" applyAlignment="1">
      <alignment horizontal="left" vertical="center"/>
    </xf>
    <xf numFmtId="3" fontId="3" fillId="0" borderId="10" xfId="0" applyNumberFormat="1" applyFont="1" applyBorder="1"/>
    <xf numFmtId="3" fontId="3" fillId="0" borderId="4" xfId="0" applyNumberFormat="1" applyFont="1" applyBorder="1"/>
    <xf numFmtId="0" fontId="4" fillId="0" borderId="13" xfId="0" applyFont="1" applyBorder="1"/>
    <xf numFmtId="0" fontId="4" fillId="0" borderId="4" xfId="0" applyFont="1" applyBorder="1"/>
    <xf numFmtId="3" fontId="4" fillId="0" borderId="9" xfId="0" applyNumberFormat="1" applyFont="1" applyBorder="1"/>
    <xf numFmtId="3" fontId="4" fillId="0" borderId="6" xfId="0" applyNumberFormat="1" applyFont="1" applyBorder="1"/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49" fontId="11" fillId="0" borderId="0" xfId="1" applyNumberFormat="1" applyFont="1" applyAlignment="1"/>
    <xf numFmtId="2" fontId="11" fillId="0" borderId="0" xfId="1" applyNumberFormat="1" applyFont="1" applyAlignment="1"/>
    <xf numFmtId="0" fontId="1" fillId="0" borderId="0" xfId="1"/>
    <xf numFmtId="49" fontId="11" fillId="0" borderId="5" xfId="1" applyNumberFormat="1" applyFont="1" applyBorder="1"/>
    <xf numFmtId="4" fontId="11" fillId="0" borderId="5" xfId="1" applyNumberFormat="1" applyFont="1" applyBorder="1"/>
    <xf numFmtId="4" fontId="11" fillId="0" borderId="10" xfId="1" applyNumberFormat="1" applyFont="1" applyBorder="1" applyAlignment="1">
      <alignment horizontal="center"/>
    </xf>
    <xf numFmtId="4" fontId="11" fillId="0" borderId="10" xfId="1" applyNumberFormat="1" applyFont="1" applyBorder="1"/>
    <xf numFmtId="0" fontId="11" fillId="0" borderId="5" xfId="1" applyFont="1" applyBorder="1"/>
    <xf numFmtId="4" fontId="11" fillId="0" borderId="4" xfId="1" applyNumberFormat="1" applyFont="1" applyBorder="1" applyAlignment="1">
      <alignment horizontal="center"/>
    </xf>
    <xf numFmtId="4" fontId="11" fillId="0" borderId="4" xfId="1" applyNumberFormat="1" applyFont="1" applyBorder="1"/>
    <xf numFmtId="49" fontId="11" fillId="0" borderId="4" xfId="1" applyNumberFormat="1" applyFont="1" applyBorder="1" applyAlignment="1">
      <alignment horizontal="center"/>
    </xf>
    <xf numFmtId="49" fontId="1" fillId="0" borderId="5" xfId="1" applyNumberFormat="1" applyBorder="1"/>
    <xf numFmtId="4" fontId="1" fillId="0" borderId="5" xfId="1" applyNumberFormat="1" applyBorder="1"/>
    <xf numFmtId="4" fontId="1" fillId="0" borderId="5" xfId="1" applyNumberFormat="1" applyBorder="1" applyAlignment="1">
      <alignment horizontal="right"/>
    </xf>
    <xf numFmtId="4" fontId="1" fillId="0" borderId="5" xfId="1" applyNumberFormat="1" applyFont="1" applyBorder="1" applyAlignment="1">
      <alignment horizontal="center"/>
    </xf>
    <xf numFmtId="4" fontId="1" fillId="0" borderId="5" xfId="1" applyNumberFormat="1" applyFont="1" applyBorder="1"/>
    <xf numFmtId="4" fontId="12" fillId="0" borderId="5" xfId="1" applyNumberFormat="1" applyFont="1" applyBorder="1"/>
    <xf numFmtId="4" fontId="1" fillId="0" borderId="0" xfId="1" applyNumberFormat="1"/>
    <xf numFmtId="4" fontId="1" fillId="0" borderId="5" xfId="1" applyNumberFormat="1" applyBorder="1" applyAlignment="1">
      <alignment horizontal="center"/>
    </xf>
    <xf numFmtId="4" fontId="1" fillId="0" borderId="5" xfId="1" applyNumberFormat="1" applyFill="1" applyBorder="1"/>
    <xf numFmtId="4" fontId="1" fillId="0" borderId="5" xfId="1" applyNumberFormat="1" applyFont="1" applyBorder="1" applyAlignment="1">
      <alignment horizontal="right"/>
    </xf>
    <xf numFmtId="4" fontId="1" fillId="0" borderId="4" xfId="1" applyNumberFormat="1" applyBorder="1" applyAlignment="1">
      <alignment horizontal="right"/>
    </xf>
    <xf numFmtId="4" fontId="1" fillId="0" borderId="4" xfId="1" applyNumberFormat="1" applyFont="1" applyBorder="1"/>
    <xf numFmtId="4" fontId="1" fillId="0" borderId="4" xfId="1" applyNumberFormat="1" applyBorder="1"/>
    <xf numFmtId="4" fontId="1" fillId="0" borderId="4" xfId="1" applyNumberFormat="1" applyFont="1" applyBorder="1" applyAlignment="1">
      <alignment horizontal="right"/>
    </xf>
    <xf numFmtId="0" fontId="1" fillId="0" borderId="3" xfId="1" applyBorder="1"/>
    <xf numFmtId="49" fontId="11" fillId="0" borderId="16" xfId="1" applyNumberFormat="1" applyFont="1" applyBorder="1" applyAlignment="1"/>
    <xf numFmtId="4" fontId="1" fillId="0" borderId="20" xfId="1" applyNumberFormat="1" applyBorder="1"/>
    <xf numFmtId="4" fontId="11" fillId="0" borderId="5" xfId="1" applyNumberFormat="1" applyFont="1" applyBorder="1" applyAlignment="1">
      <alignment horizontal="right"/>
    </xf>
    <xf numFmtId="4" fontId="11" fillId="0" borderId="5" xfId="1" applyNumberFormat="1" applyFont="1" applyBorder="1" applyAlignment="1">
      <alignment horizontal="center"/>
    </xf>
    <xf numFmtId="0" fontId="1" fillId="0" borderId="5" xfId="1" applyBorder="1"/>
    <xf numFmtId="49" fontId="11" fillId="0" borderId="17" xfId="1" applyNumberFormat="1" applyFont="1" applyBorder="1" applyAlignment="1"/>
    <xf numFmtId="49" fontId="11" fillId="0" borderId="22" xfId="1" applyNumberFormat="1" applyFont="1" applyBorder="1" applyAlignment="1"/>
    <xf numFmtId="4" fontId="11" fillId="0" borderId="10" xfId="1" applyNumberFormat="1" applyFont="1" applyBorder="1" applyAlignment="1">
      <alignment horizontal="right"/>
    </xf>
    <xf numFmtId="0" fontId="1" fillId="0" borderId="2" xfId="1" applyBorder="1"/>
    <xf numFmtId="0" fontId="1" fillId="0" borderId="1" xfId="1" applyBorder="1"/>
    <xf numFmtId="4" fontId="11" fillId="0" borderId="7" xfId="1" applyNumberFormat="1" applyFont="1" applyBorder="1"/>
    <xf numFmtId="4" fontId="11" fillId="0" borderId="7" xfId="1" applyNumberFormat="1" applyFont="1" applyBorder="1" applyAlignment="1">
      <alignment horizontal="right"/>
    </xf>
    <xf numFmtId="4" fontId="11" fillId="0" borderId="19" xfId="1" applyNumberFormat="1" applyFont="1" applyFill="1" applyBorder="1"/>
    <xf numFmtId="4" fontId="11" fillId="0" borderId="19" xfId="1" applyNumberFormat="1" applyFont="1" applyBorder="1"/>
    <xf numFmtId="4" fontId="1" fillId="0" borderId="19" xfId="1" applyNumberFormat="1" applyBorder="1"/>
    <xf numFmtId="4" fontId="11" fillId="0" borderId="23" xfId="1" applyNumberFormat="1" applyFont="1" applyBorder="1"/>
    <xf numFmtId="4" fontId="1" fillId="0" borderId="0" xfId="1" applyNumberFormat="1" applyAlignment="1">
      <alignment horizontal="right"/>
    </xf>
    <xf numFmtId="4" fontId="1" fillId="0" borderId="0" xfId="1" applyNumberFormat="1" applyAlignment="1">
      <alignment horizontal="center"/>
    </xf>
    <xf numFmtId="4" fontId="11" fillId="0" borderId="3" xfId="1" applyNumberFormat="1" applyFont="1" applyBorder="1"/>
    <xf numFmtId="49" fontId="11" fillId="0" borderId="4" xfId="1" applyNumberFormat="1" applyFont="1" applyBorder="1"/>
    <xf numFmtId="4" fontId="1" fillId="0" borderId="3" xfId="1" applyNumberFormat="1" applyBorder="1"/>
    <xf numFmtId="49" fontId="1" fillId="0" borderId="19" xfId="1" applyNumberFormat="1" applyBorder="1"/>
    <xf numFmtId="49" fontId="1" fillId="0" borderId="10" xfId="1" applyNumberFormat="1" applyBorder="1"/>
    <xf numFmtId="4" fontId="1" fillId="0" borderId="12" xfId="1" applyNumberFormat="1" applyBorder="1"/>
    <xf numFmtId="4" fontId="1" fillId="0" borderId="10" xfId="1" applyNumberFormat="1" applyBorder="1" applyAlignment="1">
      <alignment horizontal="right"/>
    </xf>
    <xf numFmtId="0" fontId="1" fillId="0" borderId="19" xfId="1" applyBorder="1" applyAlignment="1">
      <alignment horizontal="left"/>
    </xf>
    <xf numFmtId="0" fontId="1" fillId="0" borderId="10" xfId="1" applyBorder="1"/>
    <xf numFmtId="0" fontId="1" fillId="0" borderId="10" xfId="1" applyFont="1" applyBorder="1"/>
    <xf numFmtId="4" fontId="11" fillId="0" borderId="11" xfId="1" applyNumberFormat="1" applyFont="1" applyBorder="1" applyAlignment="1">
      <alignment horizontal="center"/>
    </xf>
    <xf numFmtId="0" fontId="11" fillId="0" borderId="0" xfId="1" applyFont="1"/>
    <xf numFmtId="4" fontId="11" fillId="0" borderId="24" xfId="1" applyNumberFormat="1" applyFont="1" applyBorder="1"/>
    <xf numFmtId="4" fontId="1" fillId="0" borderId="8" xfId="1" applyNumberFormat="1" applyBorder="1"/>
    <xf numFmtId="4" fontId="11" fillId="0" borderId="18" xfId="1" applyNumberFormat="1" applyFont="1" applyBorder="1"/>
    <xf numFmtId="4" fontId="1" fillId="0" borderId="25" xfId="1" applyNumberFormat="1" applyBorder="1"/>
    <xf numFmtId="4" fontId="11" fillId="0" borderId="15" xfId="1" applyNumberFormat="1" applyFont="1" applyBorder="1" applyAlignment="1">
      <alignment horizontal="center"/>
    </xf>
    <xf numFmtId="4" fontId="11" fillId="0" borderId="0" xfId="1" applyNumberFormat="1" applyFont="1"/>
    <xf numFmtId="3" fontId="5" fillId="0" borderId="5" xfId="0" applyNumberFormat="1" applyFont="1" applyBorder="1" applyAlignment="1">
      <alignment horizontal="right" vertical="center" wrapText="1"/>
    </xf>
    <xf numFmtId="1" fontId="3" fillId="0" borderId="5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3" fillId="0" borderId="1" xfId="0" applyFont="1" applyBorder="1"/>
    <xf numFmtId="0" fontId="3" fillId="0" borderId="7" xfId="0" applyFont="1" applyBorder="1"/>
    <xf numFmtId="3" fontId="3" fillId="0" borderId="9" xfId="0" applyNumberFormat="1" applyFont="1" applyBorder="1"/>
    <xf numFmtId="3" fontId="3" fillId="0" borderId="7" xfId="0" applyNumberFormat="1" applyFont="1" applyBorder="1"/>
    <xf numFmtId="3" fontId="3" fillId="0" borderId="6" xfId="0" applyNumberFormat="1" applyFont="1" applyBorder="1"/>
    <xf numFmtId="3" fontId="9" fillId="0" borderId="5" xfId="0" applyNumberFormat="1" applyFont="1" applyBorder="1"/>
    <xf numFmtId="3" fontId="7" fillId="0" borderId="5" xfId="0" applyNumberFormat="1" applyFont="1" applyBorder="1"/>
    <xf numFmtId="0" fontId="4" fillId="0" borderId="5" xfId="0" applyNumberFormat="1" applyFont="1" applyBorder="1"/>
    <xf numFmtId="0" fontId="4" fillId="0" borderId="0" xfId="0" applyFont="1" applyBorder="1"/>
    <xf numFmtId="3" fontId="7" fillId="0" borderId="0" xfId="0" applyNumberFormat="1" applyFont="1" applyBorder="1"/>
    <xf numFmtId="4" fontId="11" fillId="0" borderId="14" xfId="1" applyNumberFormat="1" applyFont="1" applyBorder="1" applyAlignment="1">
      <alignment horizontal="center"/>
    </xf>
    <xf numFmtId="4" fontId="1" fillId="0" borderId="5" xfId="1" applyNumberFormat="1" applyFont="1" applyFill="1" applyBorder="1" applyAlignment="1">
      <alignment horizontal="center"/>
    </xf>
    <xf numFmtId="4" fontId="1" fillId="0" borderId="5" xfId="1" applyNumberFormat="1" applyFont="1" applyFill="1" applyBorder="1"/>
    <xf numFmtId="0" fontId="1" fillId="0" borderId="0" xfId="1" applyFont="1" applyFill="1"/>
    <xf numFmtId="4" fontId="1" fillId="0" borderId="8" xfId="1" applyNumberFormat="1" applyFont="1" applyFill="1" applyBorder="1"/>
    <xf numFmtId="4" fontId="11" fillId="0" borderId="26" xfId="1" applyNumberFormat="1" applyFont="1" applyBorder="1"/>
    <xf numFmtId="4" fontId="1" fillId="0" borderId="0" xfId="1" applyNumberFormat="1" applyBorder="1"/>
    <xf numFmtId="4" fontId="11" fillId="0" borderId="27" xfId="1" applyNumberFormat="1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</cellXfs>
  <cellStyles count="7">
    <cellStyle name="Normální" xfId="0" builtinId="0"/>
    <cellStyle name="normální 2" xfId="2"/>
    <cellStyle name="normální 2 2" xfId="5"/>
    <cellStyle name="Normální 3" xfId="3"/>
    <cellStyle name="Normální 4" xfId="4"/>
    <cellStyle name="Normální 5" xfId="1"/>
    <cellStyle name="Normální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228600</xdr:colOff>
      <xdr:row>14</xdr:row>
      <xdr:rowOff>9525</xdr:rowOff>
    </xdr:from>
    <xdr:ext cx="184731" cy="264560"/>
    <xdr:sp macro="" textlink="">
      <xdr:nvSpPr>
        <xdr:cNvPr id="2" name="TextovéPole 1"/>
        <xdr:cNvSpPr txBox="1"/>
      </xdr:nvSpPr>
      <xdr:spPr>
        <a:xfrm>
          <a:off x="4105275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228600</xdr:colOff>
      <xdr:row>56</xdr:row>
      <xdr:rowOff>0</xdr:rowOff>
    </xdr:from>
    <xdr:ext cx="184731" cy="264560"/>
    <xdr:sp macro="" textlink="">
      <xdr:nvSpPr>
        <xdr:cNvPr id="3" name="TextovéPole 2"/>
        <xdr:cNvSpPr txBox="1"/>
      </xdr:nvSpPr>
      <xdr:spPr>
        <a:xfrm>
          <a:off x="410527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228600</xdr:colOff>
      <xdr:row>56</xdr:row>
      <xdr:rowOff>0</xdr:rowOff>
    </xdr:from>
    <xdr:ext cx="184731" cy="264560"/>
    <xdr:sp macro="" textlink="">
      <xdr:nvSpPr>
        <xdr:cNvPr id="4" name="TextovéPole 3"/>
        <xdr:cNvSpPr txBox="1"/>
      </xdr:nvSpPr>
      <xdr:spPr>
        <a:xfrm>
          <a:off x="5029200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7</xdr:col>
      <xdr:colOff>228600</xdr:colOff>
      <xdr:row>56</xdr:row>
      <xdr:rowOff>0</xdr:rowOff>
    </xdr:from>
    <xdr:ext cx="184731" cy="264560"/>
    <xdr:sp macro="" textlink="">
      <xdr:nvSpPr>
        <xdr:cNvPr id="5" name="TextovéPole 4"/>
        <xdr:cNvSpPr txBox="1"/>
      </xdr:nvSpPr>
      <xdr:spPr>
        <a:xfrm>
          <a:off x="5029200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8</xdr:col>
      <xdr:colOff>228600</xdr:colOff>
      <xdr:row>56</xdr:row>
      <xdr:rowOff>0</xdr:rowOff>
    </xdr:from>
    <xdr:ext cx="184731" cy="264560"/>
    <xdr:sp macro="" textlink="">
      <xdr:nvSpPr>
        <xdr:cNvPr id="6" name="TextovéPole 5"/>
        <xdr:cNvSpPr txBox="1"/>
      </xdr:nvSpPr>
      <xdr:spPr>
        <a:xfrm>
          <a:off x="5029200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9</xdr:col>
      <xdr:colOff>228600</xdr:colOff>
      <xdr:row>56</xdr:row>
      <xdr:rowOff>0</xdr:rowOff>
    </xdr:from>
    <xdr:ext cx="184731" cy="264560"/>
    <xdr:sp macro="" textlink="">
      <xdr:nvSpPr>
        <xdr:cNvPr id="7" name="TextovéPole 6"/>
        <xdr:cNvSpPr txBox="1"/>
      </xdr:nvSpPr>
      <xdr:spPr>
        <a:xfrm>
          <a:off x="5029200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228600</xdr:colOff>
      <xdr:row>56</xdr:row>
      <xdr:rowOff>0</xdr:rowOff>
    </xdr:from>
    <xdr:ext cx="184731" cy="264560"/>
    <xdr:sp macro="" textlink="">
      <xdr:nvSpPr>
        <xdr:cNvPr id="8" name="TextovéPole 7"/>
        <xdr:cNvSpPr txBox="1"/>
      </xdr:nvSpPr>
      <xdr:spPr>
        <a:xfrm>
          <a:off x="5029200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C27" sqref="C27"/>
    </sheetView>
  </sheetViews>
  <sheetFormatPr defaultRowHeight="14.4" x14ac:dyDescent="0.3"/>
  <cols>
    <col min="1" max="1" width="27.6640625" customWidth="1"/>
    <col min="2" max="2" width="15.88671875" customWidth="1"/>
    <col min="3" max="3" width="16.5546875" customWidth="1"/>
    <col min="4" max="4" width="14.6640625" customWidth="1"/>
    <col min="5" max="5" width="12.5546875" customWidth="1"/>
    <col min="6" max="6" width="11.109375" customWidth="1"/>
    <col min="7" max="7" width="12.5546875" customWidth="1"/>
  </cols>
  <sheetData>
    <row r="1" spans="1:7" x14ac:dyDescent="0.3">
      <c r="A1" s="2" t="s">
        <v>19</v>
      </c>
    </row>
    <row r="2" spans="1:7" x14ac:dyDescent="0.3">
      <c r="A2" s="2" t="s">
        <v>20</v>
      </c>
    </row>
    <row r="3" spans="1:7" x14ac:dyDescent="0.3">
      <c r="G3" s="94" t="s">
        <v>16</v>
      </c>
    </row>
    <row r="4" spans="1:7" x14ac:dyDescent="0.3">
      <c r="A4" s="115" t="s">
        <v>132</v>
      </c>
      <c r="B4" s="114" t="s">
        <v>156</v>
      </c>
      <c r="C4" s="114"/>
      <c r="D4" s="114"/>
      <c r="E4" s="114"/>
      <c r="F4" s="114"/>
      <c r="G4" s="114"/>
    </row>
    <row r="5" spans="1:7" x14ac:dyDescent="0.3">
      <c r="A5" s="115"/>
      <c r="B5" s="114" t="s">
        <v>0</v>
      </c>
      <c r="C5" s="114"/>
      <c r="D5" s="114"/>
      <c r="E5" s="113" t="s">
        <v>1</v>
      </c>
      <c r="F5" s="113" t="s">
        <v>2</v>
      </c>
      <c r="G5" s="113" t="s">
        <v>3</v>
      </c>
    </row>
    <row r="6" spans="1:7" ht="26.4" x14ac:dyDescent="0.3">
      <c r="A6" s="115"/>
      <c r="B6" s="6" t="s">
        <v>17</v>
      </c>
      <c r="C6" s="14" t="s">
        <v>18</v>
      </c>
      <c r="D6" s="6" t="s">
        <v>8</v>
      </c>
      <c r="E6" s="113"/>
      <c r="F6" s="113"/>
      <c r="G6" s="113"/>
    </row>
    <row r="7" spans="1:7" x14ac:dyDescent="0.3">
      <c r="A7" s="20" t="s">
        <v>129</v>
      </c>
      <c r="B7" s="15"/>
      <c r="C7" s="14"/>
      <c r="D7" s="15"/>
      <c r="E7" s="15"/>
      <c r="F7" s="15"/>
      <c r="G7" s="15"/>
    </row>
    <row r="8" spans="1:7" x14ac:dyDescent="0.3">
      <c r="A8" s="28" t="s">
        <v>130</v>
      </c>
      <c r="B8" s="93">
        <f>'přímé náklady'!B14</f>
        <v>68</v>
      </c>
      <c r="C8" s="91">
        <f>SUM(podrobně2020!F4:F13)+5.5</f>
        <v>116.5</v>
      </c>
      <c r="D8" s="27"/>
      <c r="E8" s="92">
        <f>SUM(B8:D8)</f>
        <v>184.5</v>
      </c>
      <c r="F8" s="27"/>
      <c r="G8" s="92">
        <f>SUM(E8:F8)</f>
        <v>184.5</v>
      </c>
    </row>
    <row r="9" spans="1:7" x14ac:dyDescent="0.3">
      <c r="A9" s="28" t="s">
        <v>131</v>
      </c>
      <c r="B9" s="27"/>
      <c r="C9" s="91">
        <f>SUM(podrobně2020!F14:F16)</f>
        <v>122</v>
      </c>
      <c r="D9" s="27"/>
      <c r="E9" s="92">
        <f t="shared" ref="E9:E13" si="0">SUM(B9:D9)</f>
        <v>122</v>
      </c>
      <c r="F9" s="93">
        <f>podrobně2020!F55</f>
        <v>2</v>
      </c>
      <c r="G9" s="92">
        <f t="shared" ref="G9:G13" si="1">SUM(E9:F9)</f>
        <v>124</v>
      </c>
    </row>
    <row r="10" spans="1:7" x14ac:dyDescent="0.3">
      <c r="A10" s="28" t="s">
        <v>24</v>
      </c>
      <c r="B10" s="27"/>
      <c r="C10" s="91">
        <f>SUM(podrobně2020!F17:F38)</f>
        <v>247.1</v>
      </c>
      <c r="D10" s="27"/>
      <c r="E10" s="92">
        <f t="shared" si="0"/>
        <v>247.1</v>
      </c>
      <c r="F10" s="27"/>
      <c r="G10" s="92">
        <f t="shared" si="1"/>
        <v>247.1</v>
      </c>
    </row>
    <row r="11" spans="1:7" x14ac:dyDescent="0.3">
      <c r="A11" s="4" t="s">
        <v>22</v>
      </c>
      <c r="B11" s="19">
        <f>'přímé náklady'!C15-'přímé náklady'!C14</f>
        <v>4045.7910000000011</v>
      </c>
      <c r="C11" s="19"/>
      <c r="D11" s="19"/>
      <c r="E11" s="92">
        <f t="shared" si="0"/>
        <v>4045.7910000000011</v>
      </c>
      <c r="F11" s="19"/>
      <c r="G11" s="92">
        <f t="shared" si="1"/>
        <v>4045.7910000000011</v>
      </c>
    </row>
    <row r="12" spans="1:7" x14ac:dyDescent="0.3">
      <c r="A12" s="4" t="s">
        <v>23</v>
      </c>
      <c r="B12" s="19"/>
      <c r="C12" s="19">
        <f>SUM(podrobně2020!F39)</f>
        <v>12</v>
      </c>
      <c r="D12" s="19"/>
      <c r="E12" s="92">
        <f t="shared" si="0"/>
        <v>12</v>
      </c>
      <c r="F12" s="19"/>
      <c r="G12" s="92">
        <f t="shared" si="1"/>
        <v>12</v>
      </c>
    </row>
    <row r="13" spans="1:7" ht="15" thickBot="1" x14ac:dyDescent="0.35">
      <c r="A13" s="4" t="s">
        <v>127</v>
      </c>
      <c r="B13" s="19"/>
      <c r="C13" s="19">
        <f>SUM(podrobně2020!F40:F42)</f>
        <v>44.4</v>
      </c>
      <c r="D13" s="19"/>
      <c r="E13" s="92">
        <f t="shared" si="0"/>
        <v>44.4</v>
      </c>
      <c r="F13" s="19"/>
      <c r="G13" s="92">
        <f t="shared" si="1"/>
        <v>44.4</v>
      </c>
    </row>
    <row r="14" spans="1:7" ht="15" thickBot="1" x14ac:dyDescent="0.35">
      <c r="A14" s="23" t="s">
        <v>15</v>
      </c>
      <c r="B14" s="25">
        <f>SUM(B8:B13)</f>
        <v>4113.7910000000011</v>
      </c>
      <c r="C14" s="25">
        <f>SUM(C8:C13)</f>
        <v>542</v>
      </c>
      <c r="D14" s="25">
        <f>SUM(D11:D13)</f>
        <v>0</v>
      </c>
      <c r="E14" s="25">
        <f>SUM(B14:D14)</f>
        <v>4655.7910000000011</v>
      </c>
      <c r="F14" s="25">
        <f>SUM(F8:F13)</f>
        <v>2</v>
      </c>
      <c r="G14" s="26">
        <f>SUM(G8:G13)</f>
        <v>4657.7910000000011</v>
      </c>
    </row>
    <row r="15" spans="1:7" x14ac:dyDescent="0.3">
      <c r="A15" s="24" t="s">
        <v>11</v>
      </c>
      <c r="B15" s="22"/>
      <c r="C15" s="22"/>
      <c r="D15" s="22"/>
      <c r="E15" s="22"/>
      <c r="F15" s="22"/>
      <c r="G15" s="22"/>
    </row>
    <row r="16" spans="1:7" x14ac:dyDescent="0.3">
      <c r="A16" s="4" t="s">
        <v>133</v>
      </c>
      <c r="B16" s="19"/>
      <c r="C16" s="19"/>
      <c r="D16" s="19">
        <f>podrobně2020!F45+podrobně2020!F46</f>
        <v>36.5</v>
      </c>
      <c r="E16" s="19">
        <f>SUM(B16:D16)</f>
        <v>36.5</v>
      </c>
      <c r="F16" s="19"/>
      <c r="G16" s="19">
        <f>SUM(E16:F16)</f>
        <v>36.5</v>
      </c>
    </row>
    <row r="17" spans="1:8" x14ac:dyDescent="0.3">
      <c r="A17" s="4" t="s">
        <v>134</v>
      </c>
      <c r="B17" s="19"/>
      <c r="C17" s="19"/>
      <c r="D17" s="19"/>
      <c r="E17" s="19">
        <f t="shared" ref="E17" si="2">SUM(B17:D17)</f>
        <v>0</v>
      </c>
      <c r="F17" s="19">
        <f>podrobně2020!F57</f>
        <v>7.5</v>
      </c>
      <c r="G17" s="19">
        <f t="shared" ref="G17:G19" si="3">SUM(E17:F17)</f>
        <v>7.5</v>
      </c>
    </row>
    <row r="18" spans="1:8" x14ac:dyDescent="0.3">
      <c r="A18" s="4" t="s">
        <v>135</v>
      </c>
      <c r="B18" s="19"/>
      <c r="C18" s="19">
        <v>500</v>
      </c>
      <c r="D18" s="19"/>
      <c r="E18" s="19">
        <f t="shared" ref="E18:E19" si="4">SUM(B18:D18)</f>
        <v>500</v>
      </c>
      <c r="F18" s="19"/>
      <c r="G18" s="19">
        <f t="shared" si="3"/>
        <v>500</v>
      </c>
    </row>
    <row r="19" spans="1:8" ht="15" thickBot="1" x14ac:dyDescent="0.35">
      <c r="A19" s="5" t="s">
        <v>136</v>
      </c>
      <c r="B19" s="21">
        <f>B14</f>
        <v>4113.7910000000011</v>
      </c>
      <c r="C19" s="21"/>
      <c r="D19" s="21"/>
      <c r="E19" s="19">
        <f t="shared" si="4"/>
        <v>4113.7910000000011</v>
      </c>
      <c r="F19" s="21"/>
      <c r="G19" s="19">
        <f t="shared" si="3"/>
        <v>4113.7910000000011</v>
      </c>
    </row>
    <row r="20" spans="1:8" ht="15" thickBot="1" x14ac:dyDescent="0.35">
      <c r="A20" s="23" t="s">
        <v>14</v>
      </c>
      <c r="B20" s="25">
        <f t="shared" ref="B20:G20" si="5">SUM(B16:B19)</f>
        <v>4113.7910000000011</v>
      </c>
      <c r="C20" s="25">
        <f t="shared" si="5"/>
        <v>500</v>
      </c>
      <c r="D20" s="25">
        <f t="shared" si="5"/>
        <v>36.5</v>
      </c>
      <c r="E20" s="25">
        <f t="shared" si="5"/>
        <v>4650.2910000000011</v>
      </c>
      <c r="F20" s="25">
        <f t="shared" si="5"/>
        <v>7.5</v>
      </c>
      <c r="G20" s="25">
        <f t="shared" si="5"/>
        <v>4657.7910000000011</v>
      </c>
      <c r="H20" s="16"/>
    </row>
    <row r="21" spans="1:8" ht="15" thickBot="1" x14ac:dyDescent="0.35">
      <c r="A21" s="95" t="s">
        <v>13</v>
      </c>
      <c r="B21" s="96"/>
      <c r="C21" s="96"/>
      <c r="D21" s="96"/>
      <c r="E21" s="97">
        <f>E20-E14</f>
        <v>-5.5</v>
      </c>
      <c r="F21" s="98">
        <f>F20-F14</f>
        <v>5.5</v>
      </c>
      <c r="G21" s="99">
        <f>E21+F21</f>
        <v>0</v>
      </c>
    </row>
    <row r="22" spans="1:8" x14ac:dyDescent="0.3">
      <c r="A22" s="1"/>
      <c r="B22" s="1"/>
      <c r="C22" s="1"/>
      <c r="D22" s="1"/>
      <c r="E22" s="1"/>
      <c r="F22" s="1"/>
      <c r="G22" s="1"/>
    </row>
    <row r="23" spans="1:8" x14ac:dyDescent="0.3">
      <c r="A23" s="1" t="s">
        <v>155</v>
      </c>
      <c r="B23" s="1"/>
      <c r="C23" s="1"/>
      <c r="D23" s="1" t="s">
        <v>21</v>
      </c>
      <c r="E23" s="1"/>
      <c r="F23" s="1"/>
      <c r="G23" s="1"/>
    </row>
    <row r="24" spans="1:8" x14ac:dyDescent="0.3">
      <c r="B24" s="1"/>
      <c r="C24" s="1"/>
      <c r="D24" s="1"/>
      <c r="E24" s="1"/>
      <c r="F24" s="1"/>
      <c r="G24" s="1"/>
    </row>
  </sheetData>
  <mergeCells count="6">
    <mergeCell ref="G5:G6"/>
    <mergeCell ref="B4:G4"/>
    <mergeCell ref="A4:A6"/>
    <mergeCell ref="B5:D5"/>
    <mergeCell ref="E5:E6"/>
    <mergeCell ref="F5:F6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opLeftCell="A36" zoomScaleNormal="100" workbookViewId="0">
      <selection activeCell="F64" sqref="F64"/>
    </sheetView>
  </sheetViews>
  <sheetFormatPr defaultColWidth="9.109375" defaultRowHeight="13.2" x14ac:dyDescent="0.25"/>
  <cols>
    <col min="1" max="1" width="6.5546875" style="31" customWidth="1"/>
    <col min="2" max="2" width="4" style="31" bestFit="1" customWidth="1"/>
    <col min="3" max="3" width="28.44140625" style="46" customWidth="1"/>
    <col min="4" max="4" width="17.44140625" style="46" customWidth="1"/>
    <col min="5" max="5" width="14.6640625" style="46" customWidth="1"/>
    <col min="6" max="6" width="18.44140625" style="46" customWidth="1"/>
    <col min="7" max="8" width="13" style="46" hidden="1" customWidth="1"/>
    <col min="9" max="9" width="11.33203125" style="46" hidden="1" customWidth="1"/>
    <col min="10" max="10" width="8.88671875" style="46" hidden="1" customWidth="1"/>
    <col min="11" max="11" width="13.44140625" style="46" hidden="1" customWidth="1"/>
    <col min="12" max="12" width="9.109375" style="31"/>
    <col min="13" max="13" width="10.109375" style="31" bestFit="1" customWidth="1"/>
    <col min="14" max="16384" width="9.109375" style="31"/>
  </cols>
  <sheetData>
    <row r="1" spans="1:13" x14ac:dyDescent="0.25">
      <c r="A1" s="29" t="s">
        <v>25</v>
      </c>
      <c r="B1" s="29"/>
      <c r="C1" s="29"/>
      <c r="D1" s="29"/>
      <c r="E1" s="29"/>
      <c r="F1" s="29"/>
      <c r="G1" s="29"/>
      <c r="H1" s="29"/>
      <c r="I1" s="30"/>
      <c r="J1" s="29" t="s">
        <v>26</v>
      </c>
      <c r="K1" s="29"/>
    </row>
    <row r="2" spans="1:13" x14ac:dyDescent="0.25">
      <c r="A2" s="32" t="s">
        <v>27</v>
      </c>
      <c r="B2" s="32" t="s">
        <v>28</v>
      </c>
      <c r="C2" s="33" t="s">
        <v>29</v>
      </c>
      <c r="D2" s="34" t="s">
        <v>30</v>
      </c>
      <c r="E2" s="34" t="s">
        <v>137</v>
      </c>
      <c r="F2" s="34" t="s">
        <v>30</v>
      </c>
      <c r="G2" s="34" t="s">
        <v>31</v>
      </c>
      <c r="H2" s="34" t="s">
        <v>31</v>
      </c>
      <c r="I2" s="34" t="s">
        <v>32</v>
      </c>
      <c r="J2" s="35" t="s">
        <v>33</v>
      </c>
      <c r="K2" s="35" t="s">
        <v>34</v>
      </c>
    </row>
    <row r="3" spans="1:13" x14ac:dyDescent="0.25">
      <c r="A3" s="36" t="s">
        <v>35</v>
      </c>
      <c r="B3" s="36"/>
      <c r="C3" s="33"/>
      <c r="D3" s="37" t="s">
        <v>148</v>
      </c>
      <c r="E3" s="37" t="s">
        <v>160</v>
      </c>
      <c r="F3" s="37" t="s">
        <v>161</v>
      </c>
      <c r="G3" s="38" t="str">
        <f>J1</f>
        <v>leden - prosinec 2015</v>
      </c>
      <c r="H3" s="39" t="s">
        <v>36</v>
      </c>
      <c r="I3" s="37"/>
      <c r="J3" s="38" t="s">
        <v>37</v>
      </c>
      <c r="K3" s="38" t="s">
        <v>38</v>
      </c>
    </row>
    <row r="4" spans="1:13" x14ac:dyDescent="0.25">
      <c r="A4" s="40" t="s">
        <v>39</v>
      </c>
      <c r="B4" s="40" t="s">
        <v>40</v>
      </c>
      <c r="C4" s="41" t="s">
        <v>41</v>
      </c>
      <c r="D4" s="42">
        <v>26</v>
      </c>
      <c r="E4" s="42">
        <v>22792</v>
      </c>
      <c r="F4" s="43">
        <v>26</v>
      </c>
      <c r="G4" s="41"/>
      <c r="H4" s="41"/>
      <c r="I4" s="41"/>
      <c r="J4" s="41">
        <f t="shared" ref="J4:J34" si="0">G4/(F4*1000)</f>
        <v>0</v>
      </c>
      <c r="K4" s="41">
        <f>(F4*1000)-G4-H4-I4</f>
        <v>26000</v>
      </c>
    </row>
    <row r="5" spans="1:13" x14ac:dyDescent="0.25">
      <c r="A5" s="40" t="s">
        <v>39</v>
      </c>
      <c r="B5" s="40" t="s">
        <v>42</v>
      </c>
      <c r="C5" s="41" t="s">
        <v>43</v>
      </c>
      <c r="D5" s="42">
        <v>10</v>
      </c>
      <c r="E5" s="42">
        <v>7277</v>
      </c>
      <c r="F5" s="43">
        <f t="shared" ref="F5:F38" si="1">D5</f>
        <v>10</v>
      </c>
      <c r="G5" s="41"/>
      <c r="H5" s="41"/>
      <c r="I5" s="41"/>
      <c r="J5" s="41">
        <f t="shared" si="0"/>
        <v>0</v>
      </c>
      <c r="K5" s="41">
        <f t="shared" ref="K5:K38" si="2">(F5*1000)-G5-H5-I5</f>
        <v>10000</v>
      </c>
    </row>
    <row r="6" spans="1:13" x14ac:dyDescent="0.25">
      <c r="A6" s="40" t="s">
        <v>39</v>
      </c>
      <c r="B6" s="40" t="s">
        <v>44</v>
      </c>
      <c r="C6" s="41" t="s">
        <v>45</v>
      </c>
      <c r="D6" s="42">
        <v>20</v>
      </c>
      <c r="E6" s="42">
        <v>10148</v>
      </c>
      <c r="F6" s="43">
        <f t="shared" si="1"/>
        <v>20</v>
      </c>
      <c r="G6" s="41"/>
      <c r="H6" s="44"/>
      <c r="I6" s="41"/>
      <c r="J6" s="41">
        <f t="shared" si="0"/>
        <v>0</v>
      </c>
      <c r="K6" s="41">
        <f t="shared" si="2"/>
        <v>20000</v>
      </c>
    </row>
    <row r="7" spans="1:13" x14ac:dyDescent="0.25">
      <c r="A7" s="40" t="s">
        <v>46</v>
      </c>
      <c r="B7" s="40" t="s">
        <v>47</v>
      </c>
      <c r="C7" s="41" t="s">
        <v>48</v>
      </c>
      <c r="D7" s="42">
        <v>20</v>
      </c>
      <c r="E7" s="42">
        <v>11229</v>
      </c>
      <c r="F7" s="43">
        <f t="shared" si="1"/>
        <v>20</v>
      </c>
      <c r="G7" s="41"/>
      <c r="H7" s="41"/>
      <c r="I7" s="41"/>
      <c r="J7" s="41">
        <f t="shared" si="0"/>
        <v>0</v>
      </c>
      <c r="K7" s="41">
        <f t="shared" si="2"/>
        <v>20000</v>
      </c>
    </row>
    <row r="8" spans="1:13" x14ac:dyDescent="0.25">
      <c r="A8" s="40" t="s">
        <v>46</v>
      </c>
      <c r="B8" s="40" t="s">
        <v>49</v>
      </c>
      <c r="C8" s="41" t="s">
        <v>50</v>
      </c>
      <c r="D8" s="42">
        <v>5</v>
      </c>
      <c r="E8" s="42">
        <v>4427</v>
      </c>
      <c r="F8" s="43">
        <f t="shared" si="1"/>
        <v>5</v>
      </c>
      <c r="G8" s="41"/>
      <c r="H8" s="41"/>
      <c r="I8" s="41"/>
      <c r="J8" s="41">
        <f t="shared" si="0"/>
        <v>0</v>
      </c>
      <c r="K8" s="41">
        <f t="shared" si="2"/>
        <v>5000</v>
      </c>
    </row>
    <row r="9" spans="1:13" x14ac:dyDescent="0.25">
      <c r="A9" s="40" t="s">
        <v>46</v>
      </c>
      <c r="B9" s="40" t="s">
        <v>51</v>
      </c>
      <c r="C9" s="41" t="s">
        <v>52</v>
      </c>
      <c r="D9" s="42">
        <v>10</v>
      </c>
      <c r="E9" s="42">
        <v>6849</v>
      </c>
      <c r="F9" s="43">
        <f t="shared" si="1"/>
        <v>10</v>
      </c>
      <c r="G9" s="41"/>
      <c r="H9" s="41"/>
      <c r="I9" s="44"/>
      <c r="J9" s="41">
        <f t="shared" si="0"/>
        <v>0</v>
      </c>
      <c r="K9" s="41">
        <f t="shared" si="2"/>
        <v>10000</v>
      </c>
    </row>
    <row r="10" spans="1:13" x14ac:dyDescent="0.25">
      <c r="A10" s="40" t="s">
        <v>46</v>
      </c>
      <c r="B10" s="40" t="s">
        <v>53</v>
      </c>
      <c r="C10" s="41" t="s">
        <v>54</v>
      </c>
      <c r="D10" s="42">
        <v>5</v>
      </c>
      <c r="E10" s="42">
        <v>547</v>
      </c>
      <c r="F10" s="43">
        <f t="shared" si="1"/>
        <v>5</v>
      </c>
      <c r="G10" s="41"/>
      <c r="H10" s="41"/>
      <c r="I10" s="44"/>
      <c r="J10" s="41">
        <f t="shared" si="0"/>
        <v>0</v>
      </c>
      <c r="K10" s="41">
        <f t="shared" si="2"/>
        <v>5000</v>
      </c>
    </row>
    <row r="11" spans="1:13" x14ac:dyDescent="0.25">
      <c r="A11" s="40" t="s">
        <v>46</v>
      </c>
      <c r="B11" s="40" t="s">
        <v>55</v>
      </c>
      <c r="C11" s="41" t="s">
        <v>56</v>
      </c>
      <c r="D11" s="42">
        <v>3</v>
      </c>
      <c r="E11" s="42">
        <v>1529</v>
      </c>
      <c r="F11" s="43">
        <f t="shared" si="1"/>
        <v>3</v>
      </c>
      <c r="G11" s="41"/>
      <c r="H11" s="41"/>
      <c r="I11" s="44"/>
      <c r="J11" s="41">
        <f t="shared" si="0"/>
        <v>0</v>
      </c>
      <c r="K11" s="41">
        <f t="shared" si="2"/>
        <v>3000</v>
      </c>
    </row>
    <row r="12" spans="1:13" x14ac:dyDescent="0.25">
      <c r="A12" s="40" t="s">
        <v>46</v>
      </c>
      <c r="B12" s="40" t="s">
        <v>57</v>
      </c>
      <c r="C12" s="41" t="s">
        <v>58</v>
      </c>
      <c r="D12" s="42">
        <v>2</v>
      </c>
      <c r="E12" s="42">
        <v>0</v>
      </c>
      <c r="F12" s="43">
        <f t="shared" si="1"/>
        <v>2</v>
      </c>
      <c r="G12" s="41"/>
      <c r="H12" s="41"/>
      <c r="I12" s="44"/>
      <c r="J12" s="41">
        <f>G12/(F12*1000)</f>
        <v>0</v>
      </c>
      <c r="K12" s="41">
        <f>(F12*1000)-G12-H12-I12</f>
        <v>2000</v>
      </c>
    </row>
    <row r="13" spans="1:13" x14ac:dyDescent="0.25">
      <c r="A13" s="40" t="s">
        <v>46</v>
      </c>
      <c r="B13" s="40" t="s">
        <v>59</v>
      </c>
      <c r="C13" s="41" t="s">
        <v>151</v>
      </c>
      <c r="D13" s="49">
        <v>10</v>
      </c>
      <c r="E13" s="49">
        <v>9963</v>
      </c>
      <c r="F13" s="106">
        <v>10</v>
      </c>
      <c r="G13" s="41"/>
      <c r="H13" s="45"/>
      <c r="I13" s="44"/>
      <c r="J13" s="41">
        <f t="shared" si="0"/>
        <v>0</v>
      </c>
      <c r="K13" s="41">
        <f t="shared" si="2"/>
        <v>10000</v>
      </c>
      <c r="M13" s="46"/>
    </row>
    <row r="14" spans="1:13" x14ac:dyDescent="0.25">
      <c r="A14" s="40" t="s">
        <v>66</v>
      </c>
      <c r="B14" s="40" t="s">
        <v>67</v>
      </c>
      <c r="C14" s="41" t="s">
        <v>68</v>
      </c>
      <c r="D14" s="42">
        <v>40</v>
      </c>
      <c r="E14" s="42">
        <v>21036</v>
      </c>
      <c r="F14" s="43">
        <f t="shared" si="1"/>
        <v>40</v>
      </c>
      <c r="G14" s="41"/>
      <c r="H14" s="45"/>
      <c r="I14" s="44"/>
      <c r="J14" s="41">
        <f t="shared" si="0"/>
        <v>0</v>
      </c>
      <c r="K14" s="41">
        <f t="shared" si="2"/>
        <v>40000</v>
      </c>
    </row>
    <row r="15" spans="1:13" x14ac:dyDescent="0.25">
      <c r="A15" s="40" t="s">
        <v>66</v>
      </c>
      <c r="B15" s="40" t="s">
        <v>47</v>
      </c>
      <c r="C15" s="41" t="s">
        <v>69</v>
      </c>
      <c r="D15" s="42">
        <v>12</v>
      </c>
      <c r="E15" s="42">
        <v>5358.85</v>
      </c>
      <c r="F15" s="43">
        <f t="shared" si="1"/>
        <v>12</v>
      </c>
      <c r="G15" s="44"/>
      <c r="H15" s="41"/>
      <c r="I15" s="44"/>
      <c r="J15" s="41">
        <f t="shared" si="0"/>
        <v>0</v>
      </c>
      <c r="K15" s="41">
        <f t="shared" si="2"/>
        <v>12000</v>
      </c>
    </row>
    <row r="16" spans="1:13" x14ac:dyDescent="0.25">
      <c r="A16" s="40" t="s">
        <v>66</v>
      </c>
      <c r="B16" s="40" t="s">
        <v>49</v>
      </c>
      <c r="C16" s="41" t="s">
        <v>70</v>
      </c>
      <c r="D16" s="42">
        <v>70</v>
      </c>
      <c r="E16" s="42">
        <v>46936.05</v>
      </c>
      <c r="F16" s="43">
        <f t="shared" si="1"/>
        <v>70</v>
      </c>
      <c r="G16" s="41"/>
      <c r="H16" s="41"/>
      <c r="I16" s="44"/>
      <c r="J16" s="41">
        <f t="shared" si="0"/>
        <v>0</v>
      </c>
      <c r="K16" s="41">
        <f t="shared" si="2"/>
        <v>70000</v>
      </c>
    </row>
    <row r="17" spans="1:11" x14ac:dyDescent="0.25">
      <c r="A17" s="40" t="s">
        <v>71</v>
      </c>
      <c r="B17" s="40" t="s">
        <v>72</v>
      </c>
      <c r="C17" s="41" t="s">
        <v>73</v>
      </c>
      <c r="D17" s="42">
        <v>12</v>
      </c>
      <c r="E17" s="42">
        <v>8500</v>
      </c>
      <c r="F17" s="43">
        <f t="shared" si="1"/>
        <v>12</v>
      </c>
      <c r="G17" s="41"/>
      <c r="H17" s="41"/>
      <c r="I17" s="44"/>
      <c r="J17" s="41">
        <f t="shared" si="0"/>
        <v>0</v>
      </c>
      <c r="K17" s="41">
        <f t="shared" si="2"/>
        <v>12000</v>
      </c>
    </row>
    <row r="18" spans="1:11" x14ac:dyDescent="0.25">
      <c r="A18" s="40" t="s">
        <v>74</v>
      </c>
      <c r="B18" s="40" t="s">
        <v>55</v>
      </c>
      <c r="C18" s="41" t="s">
        <v>75</v>
      </c>
      <c r="D18" s="42">
        <f>5.6+10.5</f>
        <v>16.100000000000001</v>
      </c>
      <c r="E18" s="42">
        <v>0</v>
      </c>
      <c r="F18" s="43">
        <f t="shared" si="1"/>
        <v>16.100000000000001</v>
      </c>
      <c r="G18" s="41"/>
      <c r="H18" s="41"/>
      <c r="I18" s="44"/>
      <c r="J18" s="41">
        <f t="shared" si="0"/>
        <v>0</v>
      </c>
      <c r="K18" s="41">
        <f t="shared" si="2"/>
        <v>16100.000000000002</v>
      </c>
    </row>
    <row r="19" spans="1:11" x14ac:dyDescent="0.25">
      <c r="A19" s="40" t="s">
        <v>138</v>
      </c>
      <c r="B19" s="40" t="s">
        <v>139</v>
      </c>
      <c r="C19" s="41" t="s">
        <v>140</v>
      </c>
      <c r="D19" s="42">
        <v>0</v>
      </c>
      <c r="E19" s="42">
        <v>0</v>
      </c>
      <c r="F19" s="43">
        <f t="shared" si="1"/>
        <v>0</v>
      </c>
      <c r="G19" s="41"/>
      <c r="H19" s="41"/>
      <c r="I19" s="44"/>
      <c r="J19" s="41" t="e">
        <f t="shared" si="0"/>
        <v>#DIV/0!</v>
      </c>
      <c r="K19" s="41">
        <f t="shared" si="2"/>
        <v>0</v>
      </c>
    </row>
    <row r="20" spans="1:11" x14ac:dyDescent="0.25">
      <c r="A20" s="40" t="s">
        <v>76</v>
      </c>
      <c r="B20" s="40" t="s">
        <v>72</v>
      </c>
      <c r="C20" s="41" t="s">
        <v>77</v>
      </c>
      <c r="D20" s="42">
        <v>13.5</v>
      </c>
      <c r="E20" s="42">
        <v>2836</v>
      </c>
      <c r="F20" s="43">
        <v>13.5</v>
      </c>
      <c r="G20" s="41"/>
      <c r="H20" s="41"/>
      <c r="I20" s="44"/>
      <c r="J20" s="41">
        <f t="shared" si="0"/>
        <v>0</v>
      </c>
      <c r="K20" s="44">
        <f t="shared" si="2"/>
        <v>13500</v>
      </c>
    </row>
    <row r="21" spans="1:11" x14ac:dyDescent="0.25">
      <c r="A21" s="40" t="s">
        <v>76</v>
      </c>
      <c r="B21" s="40" t="s">
        <v>40</v>
      </c>
      <c r="C21" s="41" t="s">
        <v>78</v>
      </c>
      <c r="D21" s="42">
        <v>4</v>
      </c>
      <c r="E21" s="42">
        <v>674</v>
      </c>
      <c r="F21" s="43">
        <v>4</v>
      </c>
      <c r="G21" s="41"/>
      <c r="H21" s="41"/>
      <c r="I21" s="44"/>
      <c r="J21" s="41">
        <f t="shared" si="0"/>
        <v>0</v>
      </c>
      <c r="K21" s="41">
        <f t="shared" si="2"/>
        <v>4000</v>
      </c>
    </row>
    <row r="22" spans="1:11" x14ac:dyDescent="0.25">
      <c r="A22" s="40" t="s">
        <v>76</v>
      </c>
      <c r="B22" s="40" t="s">
        <v>42</v>
      </c>
      <c r="C22" s="41" t="s">
        <v>79</v>
      </c>
      <c r="D22" s="42">
        <v>1</v>
      </c>
      <c r="E22" s="42">
        <v>557.20000000000005</v>
      </c>
      <c r="F22" s="43">
        <f t="shared" si="1"/>
        <v>1</v>
      </c>
      <c r="G22" s="41"/>
      <c r="H22" s="41"/>
      <c r="I22" s="44"/>
      <c r="J22" s="41">
        <f t="shared" si="0"/>
        <v>0</v>
      </c>
      <c r="K22" s="41">
        <f t="shared" si="2"/>
        <v>1000</v>
      </c>
    </row>
    <row r="23" spans="1:11" x14ac:dyDescent="0.25">
      <c r="A23" s="40" t="s">
        <v>80</v>
      </c>
      <c r="B23" s="40" t="s">
        <v>67</v>
      </c>
      <c r="C23" s="41" t="s">
        <v>81</v>
      </c>
      <c r="D23" s="42">
        <v>6</v>
      </c>
      <c r="E23" s="42">
        <v>4001</v>
      </c>
      <c r="F23" s="43">
        <f t="shared" si="1"/>
        <v>6</v>
      </c>
      <c r="G23" s="41"/>
      <c r="H23" s="41"/>
      <c r="I23" s="44"/>
      <c r="J23" s="41">
        <f t="shared" si="0"/>
        <v>0</v>
      </c>
      <c r="K23" s="41">
        <f t="shared" si="2"/>
        <v>6000</v>
      </c>
    </row>
    <row r="24" spans="1:11" x14ac:dyDescent="0.25">
      <c r="A24" s="40" t="s">
        <v>80</v>
      </c>
      <c r="B24" s="40" t="s">
        <v>82</v>
      </c>
      <c r="C24" s="41" t="s">
        <v>83</v>
      </c>
      <c r="D24" s="42">
        <v>25</v>
      </c>
      <c r="E24" s="42">
        <v>12928</v>
      </c>
      <c r="F24" s="43">
        <f t="shared" si="1"/>
        <v>25</v>
      </c>
      <c r="G24" s="48"/>
      <c r="H24" s="41"/>
      <c r="I24" s="44"/>
      <c r="J24" s="41">
        <f t="shared" si="0"/>
        <v>0</v>
      </c>
      <c r="K24" s="41">
        <f t="shared" si="2"/>
        <v>25000</v>
      </c>
    </row>
    <row r="25" spans="1:11" x14ac:dyDescent="0.25">
      <c r="A25" s="40" t="s">
        <v>80</v>
      </c>
      <c r="B25" s="40" t="s">
        <v>47</v>
      </c>
      <c r="C25" s="41" t="s">
        <v>84</v>
      </c>
      <c r="D25" s="42">
        <v>15</v>
      </c>
      <c r="E25" s="42">
        <v>9977.5</v>
      </c>
      <c r="F25" s="43">
        <v>15</v>
      </c>
      <c r="G25" s="48"/>
      <c r="H25" s="41"/>
      <c r="I25" s="44"/>
      <c r="J25" s="41">
        <f t="shared" si="0"/>
        <v>0</v>
      </c>
      <c r="K25" s="41">
        <f t="shared" si="2"/>
        <v>15000</v>
      </c>
    </row>
    <row r="26" spans="1:11" x14ac:dyDescent="0.25">
      <c r="A26" s="40" t="s">
        <v>80</v>
      </c>
      <c r="B26" s="40" t="s">
        <v>49</v>
      </c>
      <c r="C26" s="41" t="s">
        <v>85</v>
      </c>
      <c r="D26" s="42">
        <v>1</v>
      </c>
      <c r="E26" s="42">
        <v>600</v>
      </c>
      <c r="F26" s="43">
        <f t="shared" si="1"/>
        <v>1</v>
      </c>
      <c r="G26" s="48"/>
      <c r="H26" s="41"/>
      <c r="I26" s="44"/>
      <c r="J26" s="41">
        <f t="shared" si="0"/>
        <v>0</v>
      </c>
      <c r="K26" s="41">
        <f t="shared" si="2"/>
        <v>1000</v>
      </c>
    </row>
    <row r="27" spans="1:11" x14ac:dyDescent="0.25">
      <c r="A27" s="40" t="s">
        <v>80</v>
      </c>
      <c r="B27" s="40" t="s">
        <v>51</v>
      </c>
      <c r="C27" s="41" t="s">
        <v>86</v>
      </c>
      <c r="D27" s="42">
        <v>5</v>
      </c>
      <c r="E27" s="42">
        <v>3228.5</v>
      </c>
      <c r="F27" s="43">
        <v>5</v>
      </c>
      <c r="G27" s="48"/>
      <c r="H27" s="41"/>
      <c r="I27" s="44"/>
      <c r="J27" s="41">
        <f t="shared" si="0"/>
        <v>0</v>
      </c>
      <c r="K27" s="41">
        <f t="shared" si="2"/>
        <v>5000</v>
      </c>
    </row>
    <row r="28" spans="1:11" x14ac:dyDescent="0.25">
      <c r="A28" s="40" t="s">
        <v>80</v>
      </c>
      <c r="B28" s="40" t="s">
        <v>53</v>
      </c>
      <c r="C28" s="41" t="s">
        <v>87</v>
      </c>
      <c r="D28" s="42">
        <v>12</v>
      </c>
      <c r="E28" s="42">
        <v>4333</v>
      </c>
      <c r="F28" s="43">
        <f t="shared" si="1"/>
        <v>12</v>
      </c>
      <c r="G28" s="41"/>
      <c r="H28" s="41"/>
      <c r="I28" s="44"/>
      <c r="J28" s="41">
        <f t="shared" si="0"/>
        <v>0</v>
      </c>
      <c r="K28" s="41">
        <f t="shared" si="2"/>
        <v>12000</v>
      </c>
    </row>
    <row r="29" spans="1:11" x14ac:dyDescent="0.25">
      <c r="A29" s="40" t="s">
        <v>76</v>
      </c>
      <c r="B29" s="40" t="s">
        <v>88</v>
      </c>
      <c r="C29" s="41" t="s">
        <v>89</v>
      </c>
      <c r="D29" s="42">
        <v>2</v>
      </c>
      <c r="E29" s="42">
        <v>0</v>
      </c>
      <c r="F29" s="43">
        <f t="shared" si="1"/>
        <v>2</v>
      </c>
      <c r="G29" s="41"/>
      <c r="H29" s="45"/>
      <c r="I29" s="44"/>
      <c r="J29" s="41">
        <f>G29/(F29*1000)</f>
        <v>0</v>
      </c>
      <c r="K29" s="41">
        <f>(F29*1000)-G29-H29-I29</f>
        <v>2000</v>
      </c>
    </row>
    <row r="30" spans="1:11" x14ac:dyDescent="0.25">
      <c r="A30" s="40" t="s">
        <v>76</v>
      </c>
      <c r="B30" s="40" t="s">
        <v>90</v>
      </c>
      <c r="C30" s="41" t="s">
        <v>91</v>
      </c>
      <c r="D30" s="49">
        <v>4.5</v>
      </c>
      <c r="E30" s="49">
        <v>3354.04</v>
      </c>
      <c r="F30" s="43">
        <f t="shared" si="1"/>
        <v>4.5</v>
      </c>
      <c r="G30" s="41"/>
      <c r="H30" s="41"/>
      <c r="I30" s="44"/>
      <c r="J30" s="41">
        <f>G30/(F30*1000)</f>
        <v>0</v>
      </c>
      <c r="K30" s="41">
        <f>(F30*1000)-G30-H30-I30</f>
        <v>4500</v>
      </c>
    </row>
    <row r="31" spans="1:11" x14ac:dyDescent="0.25">
      <c r="A31" s="40" t="s">
        <v>80</v>
      </c>
      <c r="B31" s="40" t="s">
        <v>57</v>
      </c>
      <c r="C31" s="41" t="s">
        <v>92</v>
      </c>
      <c r="D31" s="42">
        <v>54</v>
      </c>
      <c r="E31" s="42">
        <v>40500</v>
      </c>
      <c r="F31" s="43">
        <f t="shared" si="1"/>
        <v>54</v>
      </c>
      <c r="G31" s="44"/>
      <c r="H31" s="41"/>
      <c r="I31" s="44"/>
      <c r="J31" s="41">
        <f t="shared" si="0"/>
        <v>0</v>
      </c>
      <c r="K31" s="41">
        <f t="shared" si="2"/>
        <v>54000</v>
      </c>
    </row>
    <row r="32" spans="1:11" x14ac:dyDescent="0.25">
      <c r="A32" s="40" t="s">
        <v>80</v>
      </c>
      <c r="B32" s="40" t="s">
        <v>59</v>
      </c>
      <c r="C32" s="41" t="s">
        <v>93</v>
      </c>
      <c r="D32" s="42">
        <v>12</v>
      </c>
      <c r="E32" s="42">
        <v>11858</v>
      </c>
      <c r="F32" s="43">
        <f t="shared" si="1"/>
        <v>12</v>
      </c>
      <c r="G32" s="44"/>
      <c r="H32" s="41"/>
      <c r="I32" s="41"/>
      <c r="J32" s="41">
        <f t="shared" si="0"/>
        <v>0</v>
      </c>
      <c r="K32" s="41">
        <f t="shared" si="2"/>
        <v>12000</v>
      </c>
    </row>
    <row r="33" spans="1:14" x14ac:dyDescent="0.25">
      <c r="A33" s="40" t="s">
        <v>80</v>
      </c>
      <c r="B33" s="40" t="s">
        <v>60</v>
      </c>
      <c r="C33" s="41" t="s">
        <v>94</v>
      </c>
      <c r="D33" s="42">
        <v>2.2000000000000002</v>
      </c>
      <c r="E33" s="42">
        <v>2224</v>
      </c>
      <c r="F33" s="43">
        <f t="shared" si="1"/>
        <v>2.2000000000000002</v>
      </c>
      <c r="G33" s="44"/>
      <c r="H33" s="41"/>
      <c r="I33" s="41"/>
      <c r="J33" s="41">
        <f t="shared" si="0"/>
        <v>0</v>
      </c>
      <c r="K33" s="41">
        <f t="shared" si="2"/>
        <v>2200</v>
      </c>
    </row>
    <row r="34" spans="1:14" x14ac:dyDescent="0.25">
      <c r="A34" s="40" t="s">
        <v>80</v>
      </c>
      <c r="B34" s="40" t="s">
        <v>95</v>
      </c>
      <c r="C34" s="41" t="s">
        <v>96</v>
      </c>
      <c r="D34" s="50">
        <v>7.3</v>
      </c>
      <c r="E34" s="50">
        <v>3000</v>
      </c>
      <c r="F34" s="43">
        <f t="shared" si="1"/>
        <v>7.3</v>
      </c>
      <c r="G34" s="51"/>
      <c r="H34" s="52"/>
      <c r="I34" s="52"/>
      <c r="J34" s="52">
        <f t="shared" si="0"/>
        <v>0</v>
      </c>
      <c r="K34" s="41">
        <f t="shared" si="2"/>
        <v>7300</v>
      </c>
    </row>
    <row r="35" spans="1:14" x14ac:dyDescent="0.25">
      <c r="A35" s="40" t="s">
        <v>80</v>
      </c>
      <c r="B35" s="40" t="s">
        <v>120</v>
      </c>
      <c r="C35" s="41" t="s">
        <v>121</v>
      </c>
      <c r="D35" s="50">
        <v>6</v>
      </c>
      <c r="E35" s="50">
        <v>5520</v>
      </c>
      <c r="F35" s="43">
        <f t="shared" si="1"/>
        <v>6</v>
      </c>
      <c r="G35" s="51"/>
      <c r="H35" s="52"/>
      <c r="I35" s="52"/>
      <c r="J35" s="52"/>
      <c r="K35" s="41"/>
    </row>
    <row r="36" spans="1:14" x14ac:dyDescent="0.25">
      <c r="A36" s="40" t="s">
        <v>80</v>
      </c>
      <c r="B36" s="40" t="s">
        <v>149</v>
      </c>
      <c r="C36" s="41" t="s">
        <v>150</v>
      </c>
      <c r="D36" s="50">
        <v>14</v>
      </c>
      <c r="E36" s="50">
        <v>7623</v>
      </c>
      <c r="F36" s="43">
        <v>14</v>
      </c>
      <c r="G36" s="51"/>
      <c r="H36" s="52"/>
      <c r="I36" s="52"/>
      <c r="J36" s="52"/>
      <c r="K36" s="41"/>
    </row>
    <row r="37" spans="1:14" x14ac:dyDescent="0.25">
      <c r="A37" s="40" t="s">
        <v>80</v>
      </c>
      <c r="B37" s="40" t="s">
        <v>162</v>
      </c>
      <c r="C37" s="41" t="s">
        <v>163</v>
      </c>
      <c r="D37" s="50">
        <v>26.1</v>
      </c>
      <c r="E37" s="50">
        <v>14853</v>
      </c>
      <c r="F37" s="43">
        <f>D37</f>
        <v>26.1</v>
      </c>
      <c r="G37" s="51"/>
      <c r="H37" s="52"/>
      <c r="I37" s="52"/>
      <c r="J37" s="52"/>
      <c r="K37" s="41"/>
    </row>
    <row r="38" spans="1:14" x14ac:dyDescent="0.25">
      <c r="A38" s="40" t="s">
        <v>80</v>
      </c>
      <c r="B38" s="40" t="s">
        <v>97</v>
      </c>
      <c r="C38" s="41" t="s">
        <v>98</v>
      </c>
      <c r="D38" s="53">
        <v>8.4</v>
      </c>
      <c r="E38" s="53">
        <v>8400</v>
      </c>
      <c r="F38" s="43">
        <f t="shared" si="1"/>
        <v>8.4</v>
      </c>
      <c r="G38" s="51"/>
      <c r="H38" s="52"/>
      <c r="I38" s="52"/>
      <c r="J38" s="52"/>
      <c r="K38" s="41">
        <f t="shared" si="2"/>
        <v>8400</v>
      </c>
      <c r="M38" s="46"/>
    </row>
    <row r="39" spans="1:14" x14ac:dyDescent="0.25">
      <c r="A39" s="40" t="s">
        <v>99</v>
      </c>
      <c r="B39" s="40" t="s">
        <v>62</v>
      </c>
      <c r="C39" s="41" t="s">
        <v>100</v>
      </c>
      <c r="D39" s="42">
        <v>12</v>
      </c>
      <c r="E39" s="42">
        <v>11421</v>
      </c>
      <c r="F39" s="43">
        <v>12</v>
      </c>
      <c r="G39" s="41"/>
      <c r="H39" s="41"/>
      <c r="I39" s="41"/>
      <c r="J39" s="41">
        <f>G39/(F39*1000)</f>
        <v>0</v>
      </c>
      <c r="K39" s="41">
        <f>(F39*1000)-G39-H39-I39</f>
        <v>12000</v>
      </c>
    </row>
    <row r="40" spans="1:14" x14ac:dyDescent="0.25">
      <c r="A40" s="40" t="s">
        <v>101</v>
      </c>
      <c r="B40" s="40" t="s">
        <v>102</v>
      </c>
      <c r="C40" s="44" t="s">
        <v>103</v>
      </c>
      <c r="D40" s="49">
        <v>16</v>
      </c>
      <c r="E40" s="49">
        <v>12348.48</v>
      </c>
      <c r="F40" s="43">
        <v>16</v>
      </c>
      <c r="G40" s="41"/>
      <c r="H40" s="41"/>
      <c r="I40" s="41"/>
      <c r="J40" s="41"/>
      <c r="K40" s="41"/>
    </row>
    <row r="41" spans="1:14" x14ac:dyDescent="0.25">
      <c r="A41" s="40" t="s">
        <v>61</v>
      </c>
      <c r="B41" s="40" t="s">
        <v>62</v>
      </c>
      <c r="C41" s="41" t="s">
        <v>63</v>
      </c>
      <c r="D41" s="42">
        <v>17.399999999999999</v>
      </c>
      <c r="E41" s="42">
        <v>17400</v>
      </c>
      <c r="F41" s="106">
        <v>17.399999999999999</v>
      </c>
      <c r="G41" s="107"/>
      <c r="H41" s="107"/>
      <c r="I41" s="107"/>
      <c r="J41" s="107"/>
      <c r="K41" s="107"/>
      <c r="L41" s="108"/>
      <c r="M41" s="108"/>
    </row>
    <row r="42" spans="1:14" x14ac:dyDescent="0.25">
      <c r="A42" s="40" t="s">
        <v>61</v>
      </c>
      <c r="B42" s="40" t="s">
        <v>64</v>
      </c>
      <c r="C42" s="41" t="s">
        <v>65</v>
      </c>
      <c r="D42" s="42">
        <v>13.5</v>
      </c>
      <c r="E42" s="42">
        <v>12111</v>
      </c>
      <c r="F42" s="43">
        <v>11</v>
      </c>
      <c r="G42" s="41"/>
      <c r="H42" s="41"/>
      <c r="I42" s="41"/>
      <c r="J42" s="41"/>
      <c r="K42" s="41"/>
    </row>
    <row r="43" spans="1:14" x14ac:dyDescent="0.25">
      <c r="A43" s="54"/>
      <c r="B43" s="55" t="s">
        <v>104</v>
      </c>
      <c r="C43" s="56"/>
      <c r="D43" s="57">
        <f>SUM(D4:D42)</f>
        <v>539</v>
      </c>
      <c r="E43" s="57">
        <f>SUM(E4:E42)</f>
        <v>346339.62</v>
      </c>
      <c r="F43" s="58">
        <f>SUM(F4:F42)</f>
        <v>536.5</v>
      </c>
      <c r="G43" s="33">
        <f>SUM(G4:G42)</f>
        <v>0</v>
      </c>
      <c r="H43" s="33">
        <f>SUM(H4:H42)</f>
        <v>0</v>
      </c>
      <c r="I43" s="33">
        <f>SUM(I4:I39)</f>
        <v>0</v>
      </c>
      <c r="J43" s="33">
        <f>G43/K43</f>
        <v>0</v>
      </c>
      <c r="K43" s="33">
        <f>SUM(K4:K42)</f>
        <v>446000</v>
      </c>
    </row>
    <row r="44" spans="1:14" x14ac:dyDescent="0.25">
      <c r="A44" s="36" t="s">
        <v>11</v>
      </c>
      <c r="B44" s="59"/>
      <c r="C44" s="41"/>
      <c r="D44" s="42"/>
      <c r="E44" s="42"/>
      <c r="F44" s="47"/>
      <c r="G44" s="41"/>
      <c r="H44" s="41"/>
      <c r="I44" s="41"/>
      <c r="J44" s="41"/>
      <c r="K44" s="41"/>
      <c r="M44" s="46"/>
      <c r="N44" s="46"/>
    </row>
    <row r="45" spans="1:14" x14ac:dyDescent="0.25">
      <c r="A45" s="40" t="s">
        <v>105</v>
      </c>
      <c r="B45" s="40"/>
      <c r="C45" s="41" t="s">
        <v>106</v>
      </c>
      <c r="D45" s="42">
        <v>38.5</v>
      </c>
      <c r="E45" s="42">
        <v>19500</v>
      </c>
      <c r="F45" s="47">
        <v>36</v>
      </c>
      <c r="G45" s="44">
        <v>34700</v>
      </c>
      <c r="H45" s="41"/>
      <c r="I45" s="41"/>
      <c r="J45" s="41">
        <f>G45/(F45*1000)</f>
        <v>0.96388888888888891</v>
      </c>
      <c r="K45" s="48">
        <f>F45*1000-G45</f>
        <v>1300</v>
      </c>
      <c r="M45" s="31">
        <f>30*120*10</f>
        <v>36000</v>
      </c>
    </row>
    <row r="46" spans="1:14" x14ac:dyDescent="0.25">
      <c r="A46" s="40" t="s">
        <v>107</v>
      </c>
      <c r="B46" s="40"/>
      <c r="C46" s="41" t="s">
        <v>108</v>
      </c>
      <c r="D46" s="42">
        <v>0.5</v>
      </c>
      <c r="E46" s="42">
        <v>440.1</v>
      </c>
      <c r="F46" s="47">
        <f t="shared" ref="F46:F49" si="3">D46</f>
        <v>0.5</v>
      </c>
      <c r="G46" s="44">
        <v>223.46</v>
      </c>
      <c r="H46" s="41"/>
      <c r="I46" s="41"/>
      <c r="J46" s="41">
        <f>G46/(F46*1000)</f>
        <v>0.44692000000000004</v>
      </c>
      <c r="K46" s="48">
        <f t="shared" ref="K46:K49" si="4">F46*1000-G46</f>
        <v>276.53999999999996</v>
      </c>
    </row>
    <row r="47" spans="1:14" x14ac:dyDescent="0.25">
      <c r="A47" s="40" t="s">
        <v>109</v>
      </c>
      <c r="B47" s="40"/>
      <c r="C47" s="41" t="s">
        <v>110</v>
      </c>
      <c r="D47" s="42">
        <v>0</v>
      </c>
      <c r="E47" s="42"/>
      <c r="F47" s="47">
        <f t="shared" si="3"/>
        <v>0</v>
      </c>
      <c r="G47" s="44"/>
      <c r="H47" s="41"/>
      <c r="I47" s="41"/>
      <c r="J47" s="41"/>
      <c r="K47" s="48"/>
    </row>
    <row r="48" spans="1:14" x14ac:dyDescent="0.25">
      <c r="A48" s="40" t="s">
        <v>111</v>
      </c>
      <c r="B48" s="40"/>
      <c r="C48" s="41" t="s">
        <v>112</v>
      </c>
      <c r="D48" s="42">
        <v>0</v>
      </c>
      <c r="E48" s="42"/>
      <c r="F48" s="47">
        <f t="shared" si="3"/>
        <v>0</v>
      </c>
      <c r="G48" s="44">
        <v>1970</v>
      </c>
      <c r="H48" s="41"/>
      <c r="I48" s="41"/>
      <c r="J48" s="41"/>
      <c r="K48" s="48">
        <f t="shared" si="4"/>
        <v>-1970</v>
      </c>
    </row>
    <row r="49" spans="1:11" x14ac:dyDescent="0.25">
      <c r="A49" s="40" t="s">
        <v>113</v>
      </c>
      <c r="B49" s="40"/>
      <c r="C49" s="41" t="s">
        <v>114</v>
      </c>
      <c r="D49" s="42">
        <v>500</v>
      </c>
      <c r="E49" s="42">
        <v>500000</v>
      </c>
      <c r="F49" s="47">
        <f t="shared" si="3"/>
        <v>500</v>
      </c>
      <c r="G49" s="41">
        <v>500000</v>
      </c>
      <c r="H49" s="41"/>
      <c r="I49" s="41"/>
      <c r="J49" s="41">
        <f>G49/(F49*1000)</f>
        <v>1</v>
      </c>
      <c r="K49" s="48">
        <f t="shared" si="4"/>
        <v>0</v>
      </c>
    </row>
    <row r="50" spans="1:11" ht="13.8" thickBot="1" x14ac:dyDescent="0.3">
      <c r="A50" s="54"/>
      <c r="B50" s="60" t="s">
        <v>104</v>
      </c>
      <c r="C50" s="61"/>
      <c r="D50" s="62">
        <f>SUM(D45:D49)</f>
        <v>539</v>
      </c>
      <c r="E50" s="62">
        <f>SUM(E45:E49)</f>
        <v>519940.1</v>
      </c>
      <c r="F50" s="34">
        <f>SUM(F45:F49)</f>
        <v>536.5</v>
      </c>
      <c r="G50" s="33">
        <f>SUM(G45:G49)</f>
        <v>536893.46</v>
      </c>
      <c r="H50" s="33"/>
      <c r="I50" s="33"/>
      <c r="J50" s="41">
        <f>G50/(F50*1000)</f>
        <v>1.0007333830382106</v>
      </c>
      <c r="K50" s="33">
        <f>SUM(K45:K49)</f>
        <v>-393.46000000000004</v>
      </c>
    </row>
    <row r="51" spans="1:11" ht="13.8" thickBot="1" x14ac:dyDescent="0.3">
      <c r="A51" s="63"/>
      <c r="B51" s="64"/>
      <c r="C51" s="65" t="s">
        <v>122</v>
      </c>
      <c r="D51" s="66">
        <f>D50-D43</f>
        <v>0</v>
      </c>
      <c r="E51" s="66">
        <f>E50-E43</f>
        <v>173600.47999999998</v>
      </c>
      <c r="F51" s="83">
        <f>F50-F43</f>
        <v>0</v>
      </c>
      <c r="G51" s="67">
        <f>G50-G43-H43-I43</f>
        <v>536893.46</v>
      </c>
      <c r="H51" s="68"/>
      <c r="I51" s="68"/>
      <c r="J51" s="69"/>
      <c r="K51" s="70"/>
    </row>
    <row r="52" spans="1:11" x14ac:dyDescent="0.25">
      <c r="D52" s="71"/>
      <c r="E52" s="71"/>
      <c r="F52" s="72"/>
    </row>
    <row r="53" spans="1:11" x14ac:dyDescent="0.25">
      <c r="A53" s="32" t="s">
        <v>27</v>
      </c>
      <c r="B53" s="32" t="s">
        <v>28</v>
      </c>
      <c r="C53" s="73" t="s">
        <v>29</v>
      </c>
      <c r="D53" s="34" t="s">
        <v>30</v>
      </c>
      <c r="E53" s="34" t="s">
        <v>137</v>
      </c>
      <c r="F53" s="34" t="s">
        <v>30</v>
      </c>
      <c r="G53" s="34" t="s">
        <v>31</v>
      </c>
      <c r="H53" s="35" t="s">
        <v>31</v>
      </c>
      <c r="I53" s="35" t="s">
        <v>32</v>
      </c>
      <c r="J53" s="35" t="s">
        <v>33</v>
      </c>
      <c r="K53" s="35" t="s">
        <v>34</v>
      </c>
    </row>
    <row r="54" spans="1:11" x14ac:dyDescent="0.25">
      <c r="A54" s="36" t="s">
        <v>115</v>
      </c>
      <c r="B54" s="36"/>
      <c r="C54" s="73"/>
      <c r="D54" s="37" t="str">
        <f>D3</f>
        <v>rok 2019 v tis.Kč</v>
      </c>
      <c r="E54" s="37" t="str">
        <f>E3</f>
        <v>1-9/2019 v Kč</v>
      </c>
      <c r="F54" s="37" t="str">
        <f>F3</f>
        <v>rok 2020 v tis.Kč</v>
      </c>
      <c r="G54" s="38" t="str">
        <f>G3</f>
        <v>leden - prosinec 2015</v>
      </c>
      <c r="H54" s="74" t="s">
        <v>36</v>
      </c>
      <c r="I54" s="38"/>
      <c r="J54" s="38" t="s">
        <v>37</v>
      </c>
      <c r="K54" s="38" t="s">
        <v>38</v>
      </c>
    </row>
    <row r="55" spans="1:11" x14ac:dyDescent="0.25">
      <c r="A55" s="40" t="s">
        <v>66</v>
      </c>
      <c r="B55" s="40"/>
      <c r="C55" s="75" t="s">
        <v>116</v>
      </c>
      <c r="D55" s="42">
        <v>1.5</v>
      </c>
      <c r="E55" s="42">
        <v>1866</v>
      </c>
      <c r="F55" s="43">
        <v>2</v>
      </c>
      <c r="G55" s="44">
        <v>0</v>
      </c>
      <c r="H55" s="32"/>
      <c r="I55" s="33"/>
      <c r="J55" s="33"/>
      <c r="K55" s="41">
        <f t="shared" ref="K55" si="5">(F55*1000)-G55-H55-I55</f>
        <v>2000</v>
      </c>
    </row>
    <row r="56" spans="1:11" x14ac:dyDescent="0.25">
      <c r="A56" s="76" t="s">
        <v>117</v>
      </c>
      <c r="B56" s="77"/>
      <c r="C56" s="78" t="s">
        <v>118</v>
      </c>
      <c r="D56" s="79">
        <v>0</v>
      </c>
      <c r="E56" s="79">
        <v>0</v>
      </c>
      <c r="F56" s="43">
        <f t="shared" ref="F56:F57" si="6">D56</f>
        <v>0</v>
      </c>
      <c r="G56" s="44"/>
      <c r="H56" s="32"/>
      <c r="I56" s="33"/>
      <c r="J56" s="33"/>
      <c r="K56" s="41"/>
    </row>
    <row r="57" spans="1:11" ht="13.8" thickBot="1" x14ac:dyDescent="0.3">
      <c r="A57" s="80">
        <v>603</v>
      </c>
      <c r="B57" s="81"/>
      <c r="C57" s="82" t="s">
        <v>119</v>
      </c>
      <c r="D57" s="79">
        <v>7.5</v>
      </c>
      <c r="E57" s="79">
        <v>7500</v>
      </c>
      <c r="F57" s="43">
        <f t="shared" si="6"/>
        <v>7.5</v>
      </c>
      <c r="G57" s="41"/>
      <c r="H57" s="41"/>
      <c r="I57" s="41"/>
      <c r="J57" s="41"/>
      <c r="K57" s="41"/>
    </row>
    <row r="58" spans="1:11" ht="13.8" thickBot="1" x14ac:dyDescent="0.3">
      <c r="A58" s="54"/>
      <c r="B58" s="64"/>
      <c r="C58" s="65" t="s">
        <v>123</v>
      </c>
      <c r="D58" s="66">
        <f>D57-D55-D56</f>
        <v>6</v>
      </c>
      <c r="E58" s="66">
        <f>E57-E55-E56</f>
        <v>5634</v>
      </c>
      <c r="F58" s="83">
        <f>F57-F55-F56</f>
        <v>5.5</v>
      </c>
      <c r="G58" s="68" t="e">
        <f>#REF!-#REF!-#REF!-#REF!</f>
        <v>#REF!</v>
      </c>
      <c r="H58" s="68"/>
      <c r="I58" s="68"/>
      <c r="J58" s="69"/>
      <c r="K58" s="70"/>
    </row>
    <row r="59" spans="1:11" ht="13.8" thickBot="1" x14ac:dyDescent="0.3"/>
    <row r="60" spans="1:11" x14ac:dyDescent="0.25">
      <c r="A60" s="84" t="s">
        <v>124</v>
      </c>
      <c r="C60" s="85" t="s">
        <v>164</v>
      </c>
      <c r="D60" s="86"/>
      <c r="E60" s="109">
        <v>194927.46</v>
      </c>
      <c r="F60" s="105"/>
    </row>
    <row r="61" spans="1:11" x14ac:dyDescent="0.25">
      <c r="A61" s="84" t="s">
        <v>125</v>
      </c>
      <c r="C61" s="110"/>
      <c r="D61" s="111"/>
      <c r="E61" s="111"/>
      <c r="F61" s="112"/>
    </row>
    <row r="62" spans="1:11" ht="13.8" thickBot="1" x14ac:dyDescent="0.3">
      <c r="C62" s="87"/>
      <c r="D62" s="88"/>
      <c r="E62" s="88"/>
      <c r="F62" s="89"/>
    </row>
    <row r="63" spans="1:11" x14ac:dyDescent="0.25">
      <c r="F63" s="72"/>
    </row>
    <row r="64" spans="1:11" x14ac:dyDescent="0.25">
      <c r="C64" s="90"/>
    </row>
  </sheetData>
  <pageMargins left="0.78740157480314965" right="0.78740157480314965" top="0.98425196850393704" bottom="0.98425196850393704" header="0.51181102362204722" footer="0.51181102362204722"/>
  <pageSetup paperSize="9" scale="9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12" sqref="C12"/>
    </sheetView>
  </sheetViews>
  <sheetFormatPr defaultRowHeight="14.4" x14ac:dyDescent="0.3"/>
  <cols>
    <col min="1" max="1" width="40.88671875" customWidth="1"/>
    <col min="2" max="4" width="11.6640625" customWidth="1"/>
  </cols>
  <sheetData>
    <row r="1" spans="1:4" x14ac:dyDescent="0.3">
      <c r="A1" s="2" t="s">
        <v>19</v>
      </c>
    </row>
    <row r="2" spans="1:4" x14ac:dyDescent="0.3">
      <c r="A2" s="2" t="s">
        <v>20</v>
      </c>
    </row>
    <row r="4" spans="1:4" x14ac:dyDescent="0.3">
      <c r="A4" s="2" t="s">
        <v>144</v>
      </c>
      <c r="B4" s="2"/>
      <c r="C4" s="2"/>
      <c r="D4" s="2"/>
    </row>
    <row r="5" spans="1:4" ht="15" customHeight="1" x14ac:dyDescent="0.3">
      <c r="A5" s="116" t="s">
        <v>5</v>
      </c>
      <c r="B5" s="119" t="s">
        <v>153</v>
      </c>
      <c r="C5" s="120"/>
      <c r="D5" s="121"/>
    </row>
    <row r="6" spans="1:4" ht="14.4" customHeight="1" x14ac:dyDescent="0.3">
      <c r="A6" s="117"/>
      <c r="B6" s="122"/>
      <c r="C6" s="123"/>
      <c r="D6" s="124"/>
    </row>
    <row r="7" spans="1:4" x14ac:dyDescent="0.3">
      <c r="A7" s="118"/>
      <c r="B7" s="8" t="s">
        <v>141</v>
      </c>
      <c r="C7" s="8" t="s">
        <v>152</v>
      </c>
      <c r="D7" s="8" t="s">
        <v>157</v>
      </c>
    </row>
    <row r="8" spans="1:4" x14ac:dyDescent="0.3">
      <c r="A8" s="3" t="s">
        <v>142</v>
      </c>
      <c r="B8" s="18">
        <f>SUM(B10:B11)</f>
        <v>2715</v>
      </c>
      <c r="C8" s="18">
        <f>SUM(C10:C11)</f>
        <v>2984.5000000000005</v>
      </c>
      <c r="D8" s="18">
        <f>SUM(D10:D11)</f>
        <v>2984.5000000000005</v>
      </c>
    </row>
    <row r="9" spans="1:4" x14ac:dyDescent="0.3">
      <c r="A9" s="3" t="s">
        <v>4</v>
      </c>
      <c r="B9" s="18"/>
      <c r="C9" s="18"/>
      <c r="D9" s="18"/>
    </row>
    <row r="10" spans="1:4" x14ac:dyDescent="0.3">
      <c r="A10" s="7" t="s">
        <v>6</v>
      </c>
      <c r="B10" s="17">
        <v>2695</v>
      </c>
      <c r="C10" s="17">
        <f>B10*1.1</f>
        <v>2964.5000000000005</v>
      </c>
      <c r="D10" s="17">
        <f>C10</f>
        <v>2964.5000000000005</v>
      </c>
    </row>
    <row r="11" spans="1:4" x14ac:dyDescent="0.3">
      <c r="A11" s="4" t="s">
        <v>126</v>
      </c>
      <c r="B11" s="17">
        <v>20</v>
      </c>
      <c r="C11" s="17">
        <f>B11</f>
        <v>20</v>
      </c>
      <c r="D11" s="17">
        <f>C11</f>
        <v>20</v>
      </c>
    </row>
    <row r="12" spans="1:4" x14ac:dyDescent="0.3">
      <c r="A12" s="3" t="s">
        <v>143</v>
      </c>
      <c r="B12" s="19">
        <v>916</v>
      </c>
      <c r="C12" s="19">
        <f>C10*0.338</f>
        <v>1002.0010000000002</v>
      </c>
      <c r="D12" s="19">
        <f>D10*0.338</f>
        <v>1002.0010000000002</v>
      </c>
    </row>
    <row r="13" spans="1:4" x14ac:dyDescent="0.3">
      <c r="A13" s="3" t="s">
        <v>145</v>
      </c>
      <c r="B13" s="19">
        <v>54</v>
      </c>
      <c r="C13" s="19">
        <f t="shared" ref="C13:D13" si="0">C10*0.02</f>
        <v>59.290000000000013</v>
      </c>
      <c r="D13" s="19">
        <f t="shared" si="0"/>
        <v>59.290000000000013</v>
      </c>
    </row>
    <row r="14" spans="1:4" x14ac:dyDescent="0.3">
      <c r="A14" s="102" t="s">
        <v>146</v>
      </c>
      <c r="B14" s="17">
        <v>68</v>
      </c>
      <c r="C14" s="17">
        <f>B14</f>
        <v>68</v>
      </c>
      <c r="D14" s="17">
        <f>C14</f>
        <v>68</v>
      </c>
    </row>
    <row r="15" spans="1:4" x14ac:dyDescent="0.3">
      <c r="A15" s="3" t="s">
        <v>147</v>
      </c>
      <c r="B15" s="101">
        <f>SUM(B10:B14)</f>
        <v>3753</v>
      </c>
      <c r="C15" s="101">
        <f t="shared" ref="C15:D15" si="1">SUM(C10:C14)</f>
        <v>4113.7910000000011</v>
      </c>
      <c r="D15" s="101">
        <f t="shared" si="1"/>
        <v>4113.7910000000011</v>
      </c>
    </row>
    <row r="16" spans="1:4" x14ac:dyDescent="0.3">
      <c r="A16" s="103"/>
      <c r="B16" s="104"/>
      <c r="C16" s="104"/>
      <c r="D16" s="104"/>
    </row>
    <row r="17" spans="1:4" x14ac:dyDescent="0.3">
      <c r="A17" s="9" t="s">
        <v>7</v>
      </c>
    </row>
    <row r="18" spans="1:4" x14ac:dyDescent="0.3">
      <c r="A18" s="9" t="s">
        <v>158</v>
      </c>
    </row>
    <row r="19" spans="1:4" x14ac:dyDescent="0.3">
      <c r="A19" s="1" t="s">
        <v>159</v>
      </c>
    </row>
    <row r="20" spans="1:4" x14ac:dyDescent="0.3">
      <c r="A20" s="9"/>
    </row>
    <row r="21" spans="1:4" x14ac:dyDescent="0.3">
      <c r="B21" s="1"/>
      <c r="C21" s="1"/>
      <c r="D21" s="1"/>
    </row>
    <row r="22" spans="1:4" x14ac:dyDescent="0.3">
      <c r="B22" s="1"/>
      <c r="C22" s="1"/>
      <c r="D22" s="1"/>
    </row>
  </sheetData>
  <mergeCells count="2">
    <mergeCell ref="A5:A7"/>
    <mergeCell ref="B5:D6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B8" sqref="B8"/>
    </sheetView>
  </sheetViews>
  <sheetFormatPr defaultRowHeight="14.4" x14ac:dyDescent="0.3"/>
  <cols>
    <col min="1" max="1" width="10.109375" bestFit="1" customWidth="1"/>
    <col min="2" max="2" width="10.88671875" customWidth="1"/>
    <col min="4" max="4" width="12.33203125" customWidth="1"/>
    <col min="6" max="6" width="10.5546875" customWidth="1"/>
    <col min="7" max="7" width="13.44140625" customWidth="1"/>
    <col min="8" max="8" width="9.5546875" customWidth="1"/>
    <col min="9" max="9" width="10.109375" customWidth="1"/>
    <col min="10" max="10" width="12.6640625" customWidth="1"/>
  </cols>
  <sheetData>
    <row r="1" spans="1:10" x14ac:dyDescent="0.3">
      <c r="A1" s="2" t="s">
        <v>19</v>
      </c>
    </row>
    <row r="2" spans="1:10" x14ac:dyDescent="0.3">
      <c r="A2" s="2" t="s">
        <v>20</v>
      </c>
    </row>
    <row r="3" spans="1:10" x14ac:dyDescent="0.3">
      <c r="A3" s="10"/>
    </row>
    <row r="4" spans="1:10" ht="15" customHeight="1" x14ac:dyDescent="0.3">
      <c r="A4" s="125" t="s">
        <v>154</v>
      </c>
      <c r="B4" s="125"/>
      <c r="C4" s="125"/>
      <c r="D4" s="125"/>
      <c r="E4" s="125"/>
      <c r="F4" s="125"/>
      <c r="G4" s="125"/>
      <c r="H4" s="125"/>
      <c r="I4" s="125"/>
    </row>
    <row r="6" spans="1:10" ht="14.4" customHeight="1" x14ac:dyDescent="0.3">
      <c r="A6" s="127" t="s">
        <v>128</v>
      </c>
      <c r="B6" s="126" t="s">
        <v>9</v>
      </c>
      <c r="C6" s="126"/>
      <c r="D6" s="126"/>
      <c r="E6" s="126" t="s">
        <v>10</v>
      </c>
      <c r="F6" s="126"/>
      <c r="G6" s="126"/>
      <c r="H6" s="126" t="s">
        <v>3</v>
      </c>
      <c r="I6" s="126"/>
      <c r="J6" s="126"/>
    </row>
    <row r="7" spans="1:10" ht="27.6" x14ac:dyDescent="0.3">
      <c r="A7" s="128"/>
      <c r="B7" s="11" t="s">
        <v>11</v>
      </c>
      <c r="C7" s="11" t="s">
        <v>12</v>
      </c>
      <c r="D7" s="12" t="s">
        <v>13</v>
      </c>
      <c r="E7" s="11" t="s">
        <v>11</v>
      </c>
      <c r="F7" s="11" t="s">
        <v>12</v>
      </c>
      <c r="G7" s="12" t="s">
        <v>13</v>
      </c>
      <c r="H7" s="11" t="s">
        <v>11</v>
      </c>
      <c r="I7" s="11" t="s">
        <v>12</v>
      </c>
      <c r="J7" s="12" t="s">
        <v>13</v>
      </c>
    </row>
    <row r="8" spans="1:10" ht="16.5" customHeight="1" x14ac:dyDescent="0.3">
      <c r="A8" s="13">
        <v>2021</v>
      </c>
      <c r="B8" s="100">
        <f>'návrh rozpočtu2020'!E20</f>
        <v>4650.2910000000011</v>
      </c>
      <c r="C8" s="100">
        <f>'návrh rozpočtu2020'!E14</f>
        <v>4655.7910000000011</v>
      </c>
      <c r="D8" s="100">
        <f>B8-C8</f>
        <v>-5.5</v>
      </c>
      <c r="E8" s="100">
        <f>'návrh rozpočtu2020'!F20</f>
        <v>7.5</v>
      </c>
      <c r="F8" s="100">
        <f>'návrh rozpočtu2020'!F14</f>
        <v>2</v>
      </c>
      <c r="G8" s="100">
        <f>E8-F8</f>
        <v>5.5</v>
      </c>
      <c r="H8" s="100">
        <f>B8+E8</f>
        <v>4657.7910000000011</v>
      </c>
      <c r="I8" s="100">
        <f>C8+F8</f>
        <v>4657.7910000000011</v>
      </c>
      <c r="J8" s="100">
        <f>H8-I8</f>
        <v>0</v>
      </c>
    </row>
    <row r="9" spans="1:10" ht="18" customHeight="1" x14ac:dyDescent="0.3">
      <c r="A9" s="13">
        <v>2022</v>
      </c>
      <c r="B9" s="100">
        <f>B8</f>
        <v>4650.2910000000011</v>
      </c>
      <c r="C9" s="100">
        <f t="shared" ref="C9:J9" si="0">C8</f>
        <v>4655.7910000000011</v>
      </c>
      <c r="D9" s="100">
        <f t="shared" si="0"/>
        <v>-5.5</v>
      </c>
      <c r="E9" s="100">
        <f t="shared" si="0"/>
        <v>7.5</v>
      </c>
      <c r="F9" s="100">
        <f t="shared" si="0"/>
        <v>2</v>
      </c>
      <c r="G9" s="100">
        <f t="shared" si="0"/>
        <v>5.5</v>
      </c>
      <c r="H9" s="100">
        <f t="shared" si="0"/>
        <v>4657.7910000000011</v>
      </c>
      <c r="I9" s="100">
        <f t="shared" si="0"/>
        <v>4657.7910000000011</v>
      </c>
      <c r="J9" s="100">
        <f t="shared" si="0"/>
        <v>0</v>
      </c>
    </row>
    <row r="12" spans="1:10" x14ac:dyDescent="0.3">
      <c r="A12" s="1" t="s">
        <v>155</v>
      </c>
      <c r="B12" s="1"/>
      <c r="C12" s="1"/>
      <c r="D12" s="1" t="s">
        <v>21</v>
      </c>
      <c r="E12" s="1"/>
      <c r="F12" s="1"/>
    </row>
  </sheetData>
  <mergeCells count="5">
    <mergeCell ref="A4:I4"/>
    <mergeCell ref="H6:J6"/>
    <mergeCell ref="A6:A7"/>
    <mergeCell ref="B6:D6"/>
    <mergeCell ref="E6:G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návrh rozpočtu2020</vt:lpstr>
      <vt:lpstr>podrobně2020</vt:lpstr>
      <vt:lpstr>přímé náklady</vt:lpstr>
      <vt:lpstr>střednědobý výhled 2020-2021</vt:lpstr>
      <vt:lpstr>podrobně2020!Názvy_tisku</vt:lpstr>
      <vt:lpstr>podrobně2020!Oblast_tisku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Pavlová Ludmila</dc:creator>
  <cp:lastModifiedBy>blanka.chalupova</cp:lastModifiedBy>
  <cp:lastPrinted>2017-11-13T12:05:51Z</cp:lastPrinted>
  <dcterms:created xsi:type="dcterms:W3CDTF">2017-03-16T06:54:01Z</dcterms:created>
  <dcterms:modified xsi:type="dcterms:W3CDTF">2019-12-02T22:21:33Z</dcterms:modified>
</cp:coreProperties>
</file>